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ing\Financial\Comptroller Transparency Star Program\Applications Program info and templates\Debt Category\"/>
    </mc:Choice>
  </mc:AlternateContent>
  <xr:revisionPtr revIDLastSave="0" documentId="13_ncr:1_{BCD0EAA0-D177-4DBF-9B85-6F4AA3E3508B}" xr6:coauthVersionLast="47" xr6:coauthVersionMax="47" xr10:uidLastSave="{00000000-0000-0000-0000-000000000000}"/>
  <bookViews>
    <workbookView xWindow="-120" yWindow="-120" windowWidth="29040" windowHeight="16440" xr2:uid="{1D2EF963-0C50-4348-AEDB-99B319334C69}"/>
  </bookViews>
  <sheets>
    <sheet name="Summary" sheetId="1" r:id="rId1"/>
    <sheet name="FMC8639200" sheetId="2" r:id="rId2"/>
    <sheet name="FMC8369201" sheetId="3" r:id="rId3"/>
    <sheet name="FMC8639202" sheetId="5" r:id="rId4"/>
    <sheet name="FMC8639203" sheetId="4" r:id="rId5"/>
    <sheet name="GC8244" sheetId="29" r:id="rId6"/>
    <sheet name="GC8740" sheetId="27" r:id="rId7"/>
    <sheet name="GC8839" sheetId="28" r:id="rId8"/>
    <sheet name="GC9163" sheetId="26" r:id="rId9"/>
    <sheet name="GC9177" sheetId="31" r:id="rId10"/>
    <sheet name="GC9840" sheetId="24" r:id="rId11"/>
    <sheet name="GC9950" sheetId="30" r:id="rId12"/>
    <sheet name="PNC172086000" sheetId="25" r:id="rId13"/>
    <sheet name="PNC172606000" sheetId="13" r:id="rId14"/>
    <sheet name="PNC179683000" sheetId="15" r:id="rId15"/>
    <sheet name="PNC189649000" sheetId="12" r:id="rId16"/>
    <sheet name="PNC193446000" sheetId="11" r:id="rId17"/>
    <sheet name="PNC194379000" sheetId="16" r:id="rId18"/>
    <sheet name="PNC201340000" sheetId="17" r:id="rId19"/>
    <sheet name="PNC202859000" sheetId="10" r:id="rId20"/>
    <sheet name="PNC202871000" sheetId="9" r:id="rId21"/>
    <sheet name="PNC202872000" sheetId="8" r:id="rId22"/>
    <sheet name="PNC204070000" sheetId="14" r:id="rId23"/>
    <sheet name="WF0263974551-26" sheetId="7" r:id="rId24"/>
    <sheet name="WF263974551-34" sheetId="6" r:id="rId25"/>
    <sheet name="WF263974551-42" sheetId="22" r:id="rId26"/>
    <sheet name="Xerox010-0026313-002" sheetId="19" r:id="rId27"/>
    <sheet name="Xerox010-0031798-002" sheetId="20" r:id="rId28"/>
    <sheet name="Xerox 010-0031798-001" sheetId="21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C14" i="1" l="1"/>
  <c r="B14" i="1"/>
  <c r="C13" i="1"/>
  <c r="B13" i="1"/>
  <c r="C12" i="1" l="1"/>
  <c r="B12" i="1"/>
  <c r="C11" i="1"/>
  <c r="B11" i="1"/>
  <c r="C10" i="1"/>
  <c r="B10" i="1"/>
  <c r="C9" i="1"/>
  <c r="B9" i="1"/>
  <c r="G14" i="1"/>
  <c r="K17" i="20"/>
  <c r="N17" i="20"/>
  <c r="F55" i="20"/>
  <c r="O15" i="20"/>
  <c r="O12" i="20"/>
  <c r="M15" i="20"/>
  <c r="J15" i="4"/>
  <c r="M15" i="4"/>
  <c r="L15" i="4"/>
  <c r="K15" i="4"/>
  <c r="G19" i="4"/>
  <c r="E12" i="4"/>
  <c r="G34" i="8"/>
  <c r="G34" i="10"/>
  <c r="E31" i="10"/>
  <c r="E30" i="10"/>
  <c r="C8" i="1"/>
  <c r="B8" i="1"/>
  <c r="G7" i="1"/>
  <c r="C7" i="1"/>
  <c r="B7" i="1"/>
  <c r="K14" i="19"/>
  <c r="M14" i="19"/>
  <c r="P18" i="22"/>
  <c r="N18" i="22"/>
  <c r="D28" i="6"/>
  <c r="F20" i="6"/>
  <c r="H20" i="6"/>
  <c r="N19" i="7"/>
  <c r="L19" i="7"/>
  <c r="I31" i="14"/>
  <c r="I32" i="14" s="1"/>
  <c r="G31" i="14"/>
  <c r="G32" i="14" s="1"/>
  <c r="G30" i="14"/>
  <c r="I30" i="14"/>
  <c r="E29" i="8"/>
  <c r="E30" i="8" s="1"/>
  <c r="E31" i="8" s="1"/>
  <c r="I29" i="9"/>
  <c r="G29" i="9"/>
  <c r="I29" i="17"/>
  <c r="I30" i="17" s="1"/>
  <c r="G29" i="17"/>
  <c r="G30" i="17" s="1"/>
  <c r="I28" i="17"/>
  <c r="G28" i="17"/>
  <c r="I29" i="16"/>
  <c r="G29" i="16"/>
  <c r="E12" i="5"/>
  <c r="E13" i="5" s="1"/>
  <c r="G12" i="5"/>
  <c r="G30" i="25"/>
  <c r="G31" i="25" s="1"/>
  <c r="G32" i="25" s="1"/>
  <c r="G33" i="25" s="1"/>
  <c r="G29" i="25"/>
  <c r="I30" i="25"/>
  <c r="I31" i="25" s="1"/>
  <c r="I32" i="25" s="1"/>
  <c r="I33" i="25" s="1"/>
  <c r="I29" i="25"/>
  <c r="I28" i="25"/>
  <c r="F35" i="25"/>
  <c r="G36" i="12"/>
  <c r="I36" i="12"/>
  <c r="I31" i="12"/>
  <c r="I32" i="12" s="1"/>
  <c r="I33" i="12" s="1"/>
  <c r="I34" i="12" s="1"/>
  <c r="I35" i="12" s="1"/>
  <c r="I37" i="12" s="1"/>
  <c r="G31" i="12"/>
  <c r="G32" i="12" s="1"/>
  <c r="G33" i="12" s="1"/>
  <c r="G34" i="12" s="1"/>
  <c r="G35" i="12" s="1"/>
  <c r="G37" i="12" s="1"/>
  <c r="G30" i="12"/>
  <c r="I30" i="12"/>
  <c r="I29" i="12"/>
  <c r="G35" i="11"/>
  <c r="G32" i="11"/>
  <c r="G33" i="11"/>
  <c r="G34" i="11"/>
  <c r="G31" i="11"/>
  <c r="G30" i="11"/>
  <c r="E30" i="11"/>
  <c r="E31" i="11" s="1"/>
  <c r="E32" i="11" s="1"/>
  <c r="E33" i="11" s="1"/>
  <c r="E34" i="11" s="1"/>
  <c r="F30" i="11"/>
  <c r="D40" i="11"/>
  <c r="G38" i="13"/>
  <c r="E30" i="13"/>
  <c r="F30" i="13"/>
  <c r="J5" i="31" l="1"/>
  <c r="J4" i="31"/>
  <c r="H5" i="31"/>
  <c r="H4" i="31"/>
  <c r="J5" i="26"/>
  <c r="J4" i="26"/>
  <c r="H5" i="26"/>
  <c r="H4" i="26"/>
  <c r="J5" i="27"/>
  <c r="J4" i="27"/>
  <c r="H5" i="27"/>
  <c r="H4" i="27"/>
  <c r="E9" i="31"/>
  <c r="E26" i="27"/>
  <c r="E14" i="28"/>
  <c r="E15" i="26"/>
  <c r="J12" i="4"/>
  <c r="K16" i="4"/>
  <c r="K14" i="4"/>
  <c r="K13" i="4"/>
  <c r="K12" i="4"/>
  <c r="M16" i="5"/>
  <c r="K16" i="5"/>
  <c r="J16" i="5"/>
  <c r="K13" i="5"/>
  <c r="L12" i="5"/>
  <c r="L13" i="5" s="1"/>
  <c r="L14" i="5" s="1"/>
  <c r="L15" i="5" s="1"/>
  <c r="L16" i="5" s="1"/>
  <c r="K12" i="5"/>
  <c r="J13" i="5"/>
  <c r="J12" i="5"/>
  <c r="M15" i="5"/>
  <c r="K15" i="5"/>
  <c r="J15" i="5"/>
  <c r="M14" i="5"/>
  <c r="K14" i="5"/>
  <c r="J14" i="5"/>
  <c r="M13" i="5"/>
  <c r="N12" i="5"/>
  <c r="N13" i="5" s="1"/>
  <c r="N14" i="5" s="1"/>
  <c r="N15" i="5" s="1"/>
  <c r="N16" i="5" s="1"/>
  <c r="M12" i="5"/>
  <c r="M14" i="3"/>
  <c r="M13" i="3"/>
  <c r="M12" i="3"/>
  <c r="L12" i="3"/>
  <c r="K12" i="3"/>
  <c r="J12" i="3"/>
  <c r="M15" i="3"/>
  <c r="K15" i="3"/>
  <c r="J15" i="3"/>
  <c r="K14" i="3"/>
  <c r="J14" i="3"/>
  <c r="K13" i="3"/>
  <c r="J13" i="3"/>
  <c r="N12" i="3"/>
  <c r="N13" i="3" s="1"/>
  <c r="N14" i="3" s="1"/>
  <c r="N15" i="3" s="1"/>
  <c r="L13" i="3"/>
  <c r="L14" i="3" s="1"/>
  <c r="L15" i="3" s="1"/>
  <c r="N14" i="2"/>
  <c r="N15" i="2" s="1"/>
  <c r="N13" i="2"/>
  <c r="M15" i="2"/>
  <c r="M14" i="2"/>
  <c r="M13" i="2"/>
  <c r="L15" i="2"/>
  <c r="L14" i="2"/>
  <c r="L13" i="2"/>
  <c r="K15" i="2"/>
  <c r="K14" i="2"/>
  <c r="K13" i="2"/>
  <c r="J15" i="2"/>
  <c r="J14" i="2"/>
  <c r="J13" i="2"/>
  <c r="J12" i="2"/>
  <c r="N12" i="2"/>
  <c r="M12" i="2"/>
  <c r="L12" i="2"/>
  <c r="K12" i="2"/>
  <c r="L16" i="21" l="1"/>
  <c r="L15" i="21"/>
  <c r="L14" i="21"/>
  <c r="L13" i="21"/>
  <c r="L12" i="21"/>
  <c r="L11" i="21"/>
  <c r="M16" i="20"/>
  <c r="N45" i="22"/>
  <c r="N41" i="22"/>
  <c r="N37" i="22"/>
  <c r="N33" i="22"/>
  <c r="N29" i="22"/>
  <c r="N25" i="22"/>
  <c r="P21" i="22"/>
  <c r="N21" i="22"/>
  <c r="M21" i="22"/>
  <c r="L43" i="7"/>
  <c r="L39" i="7"/>
  <c r="L35" i="7"/>
  <c r="L31" i="7"/>
  <c r="L27" i="7"/>
  <c r="L23" i="7"/>
  <c r="I8" i="29"/>
  <c r="I7" i="29"/>
  <c r="E14" i="5"/>
  <c r="E15" i="5" s="1"/>
  <c r="E16" i="5" s="1"/>
  <c r="E17" i="5" s="1"/>
  <c r="E18" i="5" s="1"/>
  <c r="E19" i="5" s="1"/>
  <c r="E12" i="3"/>
  <c r="E13" i="3"/>
  <c r="E14" i="3" s="1"/>
  <c r="E15" i="3" s="1"/>
  <c r="E16" i="3" s="1"/>
  <c r="E17" i="3" s="1"/>
  <c r="E18" i="3" s="1"/>
  <c r="E19" i="3" s="1"/>
  <c r="E14" i="2"/>
  <c r="E15" i="2" s="1"/>
  <c r="E16" i="2" s="1"/>
  <c r="E17" i="2" s="1"/>
  <c r="E18" i="2" s="1"/>
  <c r="E19" i="2" s="1"/>
  <c r="E13" i="2"/>
  <c r="E12" i="2"/>
  <c r="G12" i="2"/>
  <c r="D24" i="24"/>
  <c r="H4" i="24"/>
  <c r="H5" i="24" s="1"/>
  <c r="J3" i="24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G9" i="31"/>
  <c r="F9" i="31"/>
  <c r="L8" i="31"/>
  <c r="J6" i="31"/>
  <c r="H6" i="31"/>
  <c r="H7" i="31" s="1"/>
  <c r="G15" i="26"/>
  <c r="F15" i="26"/>
  <c r="H6" i="26"/>
  <c r="H7" i="26" s="1"/>
  <c r="H8" i="26" s="1"/>
  <c r="H9" i="26" s="1"/>
  <c r="H10" i="26" s="1"/>
  <c r="H11" i="26" s="1"/>
  <c r="H12" i="26" s="1"/>
  <c r="H13" i="26" s="1"/>
  <c r="J6" i="26"/>
  <c r="H6" i="24" l="1"/>
  <c r="L5" i="24"/>
  <c r="L3" i="24"/>
  <c r="L4" i="24"/>
  <c r="J7" i="31"/>
  <c r="L7" i="31" s="1"/>
  <c r="L6" i="31"/>
  <c r="L5" i="31"/>
  <c r="J7" i="26"/>
  <c r="L6" i="26"/>
  <c r="L5" i="26"/>
  <c r="G14" i="28"/>
  <c r="F14" i="28"/>
  <c r="I4" i="28"/>
  <c r="I5" i="28" s="1"/>
  <c r="I6" i="28" s="1"/>
  <c r="I7" i="28" s="1"/>
  <c r="I8" i="28" s="1"/>
  <c r="I9" i="28" s="1"/>
  <c r="I10" i="28" s="1"/>
  <c r="I11" i="28" s="1"/>
  <c r="I12" i="28" s="1"/>
  <c r="H4" i="28"/>
  <c r="H5" i="28" s="1"/>
  <c r="G26" i="27"/>
  <c r="F26" i="27"/>
  <c r="F32" i="27" s="1"/>
  <c r="D29" i="29"/>
  <c r="C9" i="29"/>
  <c r="C10" i="29" s="1"/>
  <c r="E8" i="29"/>
  <c r="K7" i="29"/>
  <c r="I9" i="29"/>
  <c r="I10" i="29" s="1"/>
  <c r="I11" i="29" s="1"/>
  <c r="I12" i="29" s="1"/>
  <c r="I13" i="29" s="1"/>
  <c r="I14" i="29" s="1"/>
  <c r="I15" i="29" s="1"/>
  <c r="I16" i="29" s="1"/>
  <c r="I17" i="29" s="1"/>
  <c r="I18" i="29" s="1"/>
  <c r="I19" i="29" s="1"/>
  <c r="I20" i="29" s="1"/>
  <c r="I21" i="29" s="1"/>
  <c r="I22" i="29" s="1"/>
  <c r="I23" i="29" s="1"/>
  <c r="I24" i="29" s="1"/>
  <c r="I25" i="29" s="1"/>
  <c r="I26" i="29" s="1"/>
  <c r="I27" i="29" s="1"/>
  <c r="E14" i="30"/>
  <c r="D14" i="30"/>
  <c r="C14" i="30"/>
  <c r="G4" i="30"/>
  <c r="G5" i="30" s="1"/>
  <c r="G6" i="30" s="1"/>
  <c r="G7" i="30" s="1"/>
  <c r="G8" i="30" s="1"/>
  <c r="G9" i="30" s="1"/>
  <c r="G10" i="30" s="1"/>
  <c r="G11" i="30" s="1"/>
  <c r="G12" i="30" s="1"/>
  <c r="G13" i="30" s="1"/>
  <c r="H3" i="30"/>
  <c r="I3" i="30" s="1"/>
  <c r="H6" i="27" l="1"/>
  <c r="L5" i="27"/>
  <c r="H7" i="24"/>
  <c r="L6" i="24"/>
  <c r="J8" i="26"/>
  <c r="L7" i="26"/>
  <c r="H6" i="28"/>
  <c r="J5" i="28"/>
  <c r="J4" i="28"/>
  <c r="J6" i="27"/>
  <c r="C11" i="29"/>
  <c r="E10" i="29"/>
  <c r="G8" i="29"/>
  <c r="E9" i="29"/>
  <c r="H4" i="30"/>
  <c r="H5" i="30" s="1"/>
  <c r="H6" i="30"/>
  <c r="I5" i="30"/>
  <c r="I4" i="30"/>
  <c r="H7" i="27" l="1"/>
  <c r="H8" i="27" s="1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L7" i="24"/>
  <c r="H8" i="24"/>
  <c r="J9" i="26"/>
  <c r="L8" i="26"/>
  <c r="H7" i="28"/>
  <c r="J6" i="28"/>
  <c r="J7" i="27"/>
  <c r="L6" i="27"/>
  <c r="E11" i="29"/>
  <c r="C12" i="29"/>
  <c r="G9" i="29"/>
  <c r="K8" i="29"/>
  <c r="H7" i="30"/>
  <c r="I6" i="30"/>
  <c r="H9" i="24" l="1"/>
  <c r="L8" i="24"/>
  <c r="J10" i="26"/>
  <c r="L9" i="26"/>
  <c r="J7" i="28"/>
  <c r="H8" i="28"/>
  <c r="J8" i="27"/>
  <c r="L7" i="27"/>
  <c r="G10" i="29"/>
  <c r="K9" i="29"/>
  <c r="C13" i="29"/>
  <c r="E12" i="29"/>
  <c r="H8" i="30"/>
  <c r="I7" i="30"/>
  <c r="H10" i="24" l="1"/>
  <c r="L9" i="24"/>
  <c r="J11" i="26"/>
  <c r="L10" i="26"/>
  <c r="J8" i="28"/>
  <c r="H9" i="28"/>
  <c r="L8" i="27"/>
  <c r="J9" i="27"/>
  <c r="K10" i="29"/>
  <c r="G11" i="29"/>
  <c r="C14" i="29"/>
  <c r="E13" i="29"/>
  <c r="H9" i="30"/>
  <c r="I8" i="30"/>
  <c r="H11" i="24" l="1"/>
  <c r="L10" i="24"/>
  <c r="J12" i="26"/>
  <c r="L11" i="26"/>
  <c r="H10" i="28"/>
  <c r="J9" i="28"/>
  <c r="L9" i="27"/>
  <c r="J10" i="27"/>
  <c r="E14" i="29"/>
  <c r="C15" i="29"/>
  <c r="K11" i="29"/>
  <c r="G12" i="29"/>
  <c r="H10" i="30"/>
  <c r="I9" i="30"/>
  <c r="H12" i="24" l="1"/>
  <c r="L11" i="24"/>
  <c r="J13" i="26"/>
  <c r="L13" i="26" s="1"/>
  <c r="L12" i="26"/>
  <c r="H11" i="28"/>
  <c r="J10" i="28"/>
  <c r="J11" i="27"/>
  <c r="L10" i="27"/>
  <c r="G13" i="29"/>
  <c r="K12" i="29"/>
  <c r="E15" i="29"/>
  <c r="C16" i="29"/>
  <c r="H11" i="30"/>
  <c r="I10" i="30"/>
  <c r="H13" i="24" l="1"/>
  <c r="L12" i="24"/>
  <c r="J11" i="28"/>
  <c r="H12" i="28"/>
  <c r="J12" i="28" s="1"/>
  <c r="J12" i="27"/>
  <c r="L11" i="27"/>
  <c r="C17" i="29"/>
  <c r="E16" i="29"/>
  <c r="K13" i="29"/>
  <c r="G14" i="29"/>
  <c r="H12" i="30"/>
  <c r="I11" i="30"/>
  <c r="H14" i="24" l="1"/>
  <c r="L13" i="24"/>
  <c r="L12" i="27"/>
  <c r="J13" i="27"/>
  <c r="G15" i="29"/>
  <c r="K14" i="29"/>
  <c r="E17" i="29"/>
  <c r="C18" i="29"/>
  <c r="H13" i="30"/>
  <c r="I13" i="30" s="1"/>
  <c r="I12" i="30"/>
  <c r="L14" i="24" l="1"/>
  <c r="H15" i="24"/>
  <c r="L13" i="27"/>
  <c r="J14" i="27"/>
  <c r="E18" i="29"/>
  <c r="C19" i="29"/>
  <c r="G16" i="29"/>
  <c r="K15" i="29"/>
  <c r="H16" i="24" l="1"/>
  <c r="L15" i="24"/>
  <c r="J15" i="27"/>
  <c r="L14" i="27"/>
  <c r="G17" i="29"/>
  <c r="K16" i="29"/>
  <c r="C20" i="29"/>
  <c r="E19" i="29"/>
  <c r="H17" i="24" l="1"/>
  <c r="L16" i="24"/>
  <c r="J16" i="27"/>
  <c r="L15" i="27"/>
  <c r="E20" i="29"/>
  <c r="C21" i="29"/>
  <c r="G18" i="29"/>
  <c r="K17" i="29"/>
  <c r="L17" i="24" l="1"/>
  <c r="H18" i="24"/>
  <c r="L16" i="27"/>
  <c r="J17" i="27"/>
  <c r="G19" i="29"/>
  <c r="K18" i="29"/>
  <c r="E21" i="29"/>
  <c r="C22" i="29"/>
  <c r="H19" i="24" l="1"/>
  <c r="L18" i="24"/>
  <c r="L17" i="27"/>
  <c r="J18" i="27"/>
  <c r="C23" i="29"/>
  <c r="E22" i="29"/>
  <c r="G20" i="29"/>
  <c r="K19" i="29"/>
  <c r="L19" i="24" l="1"/>
  <c r="H20" i="24"/>
  <c r="J19" i="27"/>
  <c r="L18" i="27"/>
  <c r="K20" i="29"/>
  <c r="G21" i="29"/>
  <c r="C24" i="29"/>
  <c r="E23" i="29"/>
  <c r="L20" i="24" l="1"/>
  <c r="H21" i="24"/>
  <c r="J20" i="27"/>
  <c r="L19" i="27"/>
  <c r="E24" i="29"/>
  <c r="C25" i="29"/>
  <c r="K21" i="29"/>
  <c r="G22" i="29"/>
  <c r="H22" i="24" l="1"/>
  <c r="L21" i="24"/>
  <c r="L20" i="27"/>
  <c r="J21" i="27"/>
  <c r="G23" i="29"/>
  <c r="K22" i="29"/>
  <c r="C26" i="29"/>
  <c r="E25" i="29"/>
  <c r="H23" i="24" l="1"/>
  <c r="L23" i="24" s="1"/>
  <c r="L22" i="24"/>
  <c r="L21" i="27"/>
  <c r="J22" i="27"/>
  <c r="C27" i="29"/>
  <c r="E26" i="29"/>
  <c r="K23" i="29"/>
  <c r="G24" i="29"/>
  <c r="J23" i="27" l="1"/>
  <c r="L22" i="27"/>
  <c r="K24" i="29"/>
  <c r="G25" i="29"/>
  <c r="E27" i="29"/>
  <c r="E29" i="29" s="1"/>
  <c r="C29" i="29"/>
  <c r="J24" i="27" l="1"/>
  <c r="L24" i="27" s="1"/>
  <c r="L23" i="27"/>
  <c r="G26" i="29"/>
  <c r="K25" i="29"/>
  <c r="K26" i="29" l="1"/>
  <c r="G27" i="29"/>
  <c r="K27" i="29" s="1"/>
  <c r="E30" i="25" l="1"/>
  <c r="C24" i="25"/>
  <c r="E20" i="25"/>
  <c r="M16" i="21"/>
  <c r="M15" i="21"/>
  <c r="M14" i="21"/>
  <c r="M13" i="21"/>
  <c r="M12" i="21"/>
  <c r="M11" i="21"/>
  <c r="N11" i="21" s="1"/>
  <c r="K16" i="21"/>
  <c r="K15" i="21"/>
  <c r="K14" i="21"/>
  <c r="K13" i="21"/>
  <c r="K12" i="21"/>
  <c r="K11" i="21"/>
  <c r="J16" i="21"/>
  <c r="J15" i="21"/>
  <c r="J14" i="21"/>
  <c r="J13" i="21"/>
  <c r="J12" i="21"/>
  <c r="J11" i="21"/>
  <c r="E72" i="21"/>
  <c r="D72" i="21"/>
  <c r="C72" i="21"/>
  <c r="L18" i="20"/>
  <c r="L17" i="20"/>
  <c r="L16" i="20"/>
  <c r="L15" i="20"/>
  <c r="E67" i="20"/>
  <c r="D61" i="20"/>
  <c r="N18" i="20"/>
  <c r="C54" i="20"/>
  <c r="E54" i="20" s="1"/>
  <c r="C53" i="20"/>
  <c r="E53" i="20" s="1"/>
  <c r="C52" i="20"/>
  <c r="E52" i="20" s="1"/>
  <c r="C51" i="20"/>
  <c r="E51" i="20" s="1"/>
  <c r="C50" i="20"/>
  <c r="E50" i="20" s="1"/>
  <c r="C49" i="20"/>
  <c r="E49" i="20" s="1"/>
  <c r="C48" i="20"/>
  <c r="D45" i="20"/>
  <c r="C44" i="20"/>
  <c r="E44" i="20" s="1"/>
  <c r="C43" i="20"/>
  <c r="E43" i="20" s="1"/>
  <c r="C42" i="20"/>
  <c r="E42" i="20" s="1"/>
  <c r="C41" i="20"/>
  <c r="E41" i="20" s="1"/>
  <c r="C40" i="20"/>
  <c r="E40" i="20" s="1"/>
  <c r="C39" i="20"/>
  <c r="E39" i="20" s="1"/>
  <c r="C38" i="20"/>
  <c r="E38" i="20" s="1"/>
  <c r="C37" i="20"/>
  <c r="E37" i="20" s="1"/>
  <c r="C36" i="20"/>
  <c r="E36" i="20" s="1"/>
  <c r="C35" i="20"/>
  <c r="E35" i="20" s="1"/>
  <c r="C34" i="20"/>
  <c r="E34" i="20" s="1"/>
  <c r="C33" i="20"/>
  <c r="E33" i="20" s="1"/>
  <c r="D30" i="20"/>
  <c r="C29" i="20"/>
  <c r="E29" i="20" s="1"/>
  <c r="C28" i="20"/>
  <c r="E28" i="20" s="1"/>
  <c r="C27" i="20"/>
  <c r="E27" i="20" s="1"/>
  <c r="C26" i="20"/>
  <c r="E26" i="20" s="1"/>
  <c r="C25" i="20"/>
  <c r="E25" i="20" s="1"/>
  <c r="C24" i="20"/>
  <c r="E24" i="20" s="1"/>
  <c r="C23" i="20"/>
  <c r="E23" i="20" s="1"/>
  <c r="C22" i="20"/>
  <c r="E22" i="20" s="1"/>
  <c r="C21" i="20"/>
  <c r="E21" i="20" s="1"/>
  <c r="C20" i="20"/>
  <c r="E20" i="20" s="1"/>
  <c r="C19" i="20"/>
  <c r="E19" i="20" s="1"/>
  <c r="A19" i="20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8" i="20" s="1"/>
  <c r="A49" i="20" s="1"/>
  <c r="A50" i="20" s="1"/>
  <c r="A51" i="20" s="1"/>
  <c r="A52" i="20" s="1"/>
  <c r="A53" i="20" s="1"/>
  <c r="A54" i="20" s="1"/>
  <c r="A56" i="20" s="1"/>
  <c r="A57" i="20" s="1"/>
  <c r="A58" i="20" s="1"/>
  <c r="A59" i="20" s="1"/>
  <c r="A60" i="20" s="1"/>
  <c r="C18" i="20"/>
  <c r="E18" i="20" s="1"/>
  <c r="F15" i="20"/>
  <c r="F18" i="20" s="1"/>
  <c r="J17" i="19"/>
  <c r="J16" i="19"/>
  <c r="J15" i="19"/>
  <c r="J14" i="19"/>
  <c r="D60" i="19"/>
  <c r="C59" i="19"/>
  <c r="E59" i="19" s="1"/>
  <c r="C58" i="19"/>
  <c r="E58" i="19" s="1"/>
  <c r="C57" i="19"/>
  <c r="E57" i="19" s="1"/>
  <c r="C56" i="19"/>
  <c r="E56" i="19" s="1"/>
  <c r="C55" i="19"/>
  <c r="E55" i="19" s="1"/>
  <c r="C54" i="19"/>
  <c r="E54" i="19" s="1"/>
  <c r="D51" i="19"/>
  <c r="C50" i="19"/>
  <c r="E50" i="19" s="1"/>
  <c r="C49" i="19"/>
  <c r="E49" i="19" s="1"/>
  <c r="C48" i="19"/>
  <c r="E48" i="19" s="1"/>
  <c r="C47" i="19"/>
  <c r="E47" i="19" s="1"/>
  <c r="C46" i="19"/>
  <c r="E46" i="19" s="1"/>
  <c r="C45" i="19"/>
  <c r="E45" i="19" s="1"/>
  <c r="C44" i="19"/>
  <c r="E44" i="19" s="1"/>
  <c r="C43" i="19"/>
  <c r="E43" i="19" s="1"/>
  <c r="C42" i="19"/>
  <c r="E42" i="19" s="1"/>
  <c r="C41" i="19"/>
  <c r="E41" i="19" s="1"/>
  <c r="C40" i="19"/>
  <c r="E40" i="19" s="1"/>
  <c r="C39" i="19"/>
  <c r="D36" i="19"/>
  <c r="C35" i="19"/>
  <c r="E35" i="19" s="1"/>
  <c r="C34" i="19"/>
  <c r="E34" i="19" s="1"/>
  <c r="C33" i="19"/>
  <c r="E33" i="19" s="1"/>
  <c r="C32" i="19"/>
  <c r="E32" i="19" s="1"/>
  <c r="C31" i="19"/>
  <c r="E31" i="19" s="1"/>
  <c r="C30" i="19"/>
  <c r="E30" i="19" s="1"/>
  <c r="C29" i="19"/>
  <c r="E29" i="19" s="1"/>
  <c r="C28" i="19"/>
  <c r="E28" i="19" s="1"/>
  <c r="C27" i="19"/>
  <c r="E27" i="19" s="1"/>
  <c r="C26" i="19"/>
  <c r="E26" i="19" s="1"/>
  <c r="C25" i="19"/>
  <c r="E25" i="19" s="1"/>
  <c r="C24" i="19"/>
  <c r="E24" i="19" s="1"/>
  <c r="D21" i="19"/>
  <c r="C20" i="19"/>
  <c r="E20" i="19" s="1"/>
  <c r="C19" i="19"/>
  <c r="E19" i="19" s="1"/>
  <c r="C18" i="19"/>
  <c r="E18" i="19" s="1"/>
  <c r="C17" i="19"/>
  <c r="C16" i="19"/>
  <c r="E16" i="19" s="1"/>
  <c r="A16" i="19"/>
  <c r="A17" i="19" s="1"/>
  <c r="A18" i="19" s="1"/>
  <c r="A19" i="19" s="1"/>
  <c r="A20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4" i="19" s="1"/>
  <c r="A55" i="19" s="1"/>
  <c r="A56" i="19" s="1"/>
  <c r="A57" i="19" s="1"/>
  <c r="A58" i="19" s="1"/>
  <c r="A59" i="19" s="1"/>
  <c r="C15" i="19"/>
  <c r="E15" i="19" s="1"/>
  <c r="F14" i="19"/>
  <c r="F18" i="22"/>
  <c r="O45" i="22"/>
  <c r="O41" i="22"/>
  <c r="O37" i="22"/>
  <c r="O33" i="22"/>
  <c r="O29" i="22"/>
  <c r="O25" i="22"/>
  <c r="O21" i="22"/>
  <c r="P25" i="22" s="1"/>
  <c r="P29" i="22" s="1"/>
  <c r="L21" i="22"/>
  <c r="M45" i="22"/>
  <c r="L45" i="22"/>
  <c r="M41" i="22"/>
  <c r="L41" i="22"/>
  <c r="M37" i="22"/>
  <c r="L37" i="22"/>
  <c r="M33" i="22"/>
  <c r="L33" i="22"/>
  <c r="M29" i="22"/>
  <c r="L29" i="22"/>
  <c r="L25" i="22"/>
  <c r="M25" i="22"/>
  <c r="H18" i="22"/>
  <c r="H19" i="22" s="1"/>
  <c r="G46" i="22"/>
  <c r="E46" i="22"/>
  <c r="D46" i="22"/>
  <c r="F19" i="22"/>
  <c r="F32" i="17"/>
  <c r="E29" i="17"/>
  <c r="H28" i="17"/>
  <c r="C23" i="17"/>
  <c r="G19" i="17"/>
  <c r="F35" i="16"/>
  <c r="G30" i="16" s="1"/>
  <c r="G31" i="16" s="1"/>
  <c r="G32" i="16" s="1"/>
  <c r="G33" i="16" s="1"/>
  <c r="E30" i="16"/>
  <c r="H29" i="16"/>
  <c r="C24" i="16"/>
  <c r="G20" i="16"/>
  <c r="F35" i="15"/>
  <c r="G29" i="15" s="1"/>
  <c r="G30" i="15" s="1"/>
  <c r="G31" i="15" s="1"/>
  <c r="G32" i="15" s="1"/>
  <c r="G33" i="15" s="1"/>
  <c r="E30" i="15"/>
  <c r="E31" i="15" s="1"/>
  <c r="H29" i="15"/>
  <c r="C24" i="15"/>
  <c r="G20" i="15"/>
  <c r="I28" i="15" s="1"/>
  <c r="F34" i="14"/>
  <c r="E31" i="14"/>
  <c r="E32" i="14" s="1"/>
  <c r="H30" i="14"/>
  <c r="C25" i="14"/>
  <c r="J21" i="14"/>
  <c r="D42" i="13"/>
  <c r="E31" i="13" s="1"/>
  <c r="E32" i="13" s="1"/>
  <c r="C31" i="13"/>
  <c r="G8" i="1" s="1"/>
  <c r="G21" i="13"/>
  <c r="G29" i="13" s="1"/>
  <c r="G30" i="13" s="1"/>
  <c r="F39" i="12"/>
  <c r="H37" i="12"/>
  <c r="E31" i="12"/>
  <c r="H30" i="12"/>
  <c r="C25" i="12"/>
  <c r="G21" i="12"/>
  <c r="C31" i="11"/>
  <c r="C32" i="11" s="1"/>
  <c r="B25" i="11"/>
  <c r="H21" i="11"/>
  <c r="G29" i="11" s="1"/>
  <c r="D41" i="10"/>
  <c r="E32" i="10" s="1"/>
  <c r="E33" i="10" s="1"/>
  <c r="C31" i="10"/>
  <c r="F31" i="10" s="1"/>
  <c r="F30" i="10"/>
  <c r="B25" i="10"/>
  <c r="I21" i="10"/>
  <c r="F35" i="9"/>
  <c r="G30" i="9" s="1"/>
  <c r="G31" i="9" s="1"/>
  <c r="G32" i="9" s="1"/>
  <c r="G33" i="9" s="1"/>
  <c r="E30" i="9"/>
  <c r="H29" i="9"/>
  <c r="C24" i="9"/>
  <c r="G20" i="9"/>
  <c r="D41" i="8"/>
  <c r="E32" i="8" s="1"/>
  <c r="E33" i="8" s="1"/>
  <c r="C31" i="8"/>
  <c r="F31" i="8" s="1"/>
  <c r="F30" i="8"/>
  <c r="G30" i="8" s="1"/>
  <c r="G31" i="8" s="1"/>
  <c r="B25" i="8"/>
  <c r="I21" i="8"/>
  <c r="M43" i="7"/>
  <c r="K43" i="7"/>
  <c r="J43" i="7"/>
  <c r="M39" i="7"/>
  <c r="K39" i="7"/>
  <c r="J39" i="7"/>
  <c r="M35" i="7"/>
  <c r="K35" i="7"/>
  <c r="J35" i="7"/>
  <c r="M31" i="7"/>
  <c r="K31" i="7"/>
  <c r="J31" i="7"/>
  <c r="M27" i="7"/>
  <c r="K27" i="7"/>
  <c r="J27" i="7"/>
  <c r="M23" i="7"/>
  <c r="K23" i="7"/>
  <c r="J23" i="7"/>
  <c r="N23" i="7"/>
  <c r="M19" i="7"/>
  <c r="K19" i="7"/>
  <c r="J19" i="7"/>
  <c r="F44" i="7"/>
  <c r="E44" i="7"/>
  <c r="D44" i="7"/>
  <c r="G28" i="6"/>
  <c r="J20" i="6" s="1"/>
  <c r="E28" i="6"/>
  <c r="I26" i="6"/>
  <c r="I25" i="6"/>
  <c r="I24" i="6"/>
  <c r="I23" i="6"/>
  <c r="I22" i="6"/>
  <c r="I21" i="6"/>
  <c r="I20" i="6"/>
  <c r="M18" i="20" l="1"/>
  <c r="G30" i="10"/>
  <c r="G29" i="10"/>
  <c r="I29" i="15"/>
  <c r="E33" i="13"/>
  <c r="N16" i="20"/>
  <c r="N15" i="20"/>
  <c r="O16" i="20" s="1"/>
  <c r="K16" i="20"/>
  <c r="K15" i="20"/>
  <c r="K18" i="20"/>
  <c r="N27" i="7"/>
  <c r="N31" i="7" s="1"/>
  <c r="N35" i="7" s="1"/>
  <c r="N39" i="7" s="1"/>
  <c r="N43" i="7" s="1"/>
  <c r="G31" i="10"/>
  <c r="E31" i="25"/>
  <c r="N12" i="21"/>
  <c r="N13" i="21" s="1"/>
  <c r="N14" i="21" s="1"/>
  <c r="N15" i="21" s="1"/>
  <c r="N16" i="21" s="1"/>
  <c r="E66" i="20"/>
  <c r="E69" i="20" s="1"/>
  <c r="D63" i="20"/>
  <c r="C61" i="20"/>
  <c r="E48" i="20"/>
  <c r="E61" i="20" s="1"/>
  <c r="E45" i="20"/>
  <c r="E30" i="20"/>
  <c r="F19" i="20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C30" i="20"/>
  <c r="C45" i="20"/>
  <c r="C21" i="19"/>
  <c r="L17" i="19"/>
  <c r="C51" i="19"/>
  <c r="L15" i="19"/>
  <c r="I14" i="19"/>
  <c r="I15" i="19"/>
  <c r="C60" i="19"/>
  <c r="D62" i="19"/>
  <c r="K15" i="19" s="1"/>
  <c r="K16" i="19" s="1"/>
  <c r="K17" i="19" s="1"/>
  <c r="C36" i="19"/>
  <c r="I16" i="19"/>
  <c r="F15" i="19"/>
  <c r="F16" i="19" s="1"/>
  <c r="I17" i="19"/>
  <c r="E60" i="19"/>
  <c r="E36" i="19"/>
  <c r="E17" i="19"/>
  <c r="E21" i="19" s="1"/>
  <c r="E39" i="19"/>
  <c r="E51" i="19" s="1"/>
  <c r="I18" i="22"/>
  <c r="I19" i="22"/>
  <c r="P33" i="22"/>
  <c r="P37" i="22" s="1"/>
  <c r="P41" i="22" s="1"/>
  <c r="P45" i="22" s="1"/>
  <c r="F20" i="22"/>
  <c r="H20" i="22"/>
  <c r="E30" i="17"/>
  <c r="H30" i="17" s="1"/>
  <c r="H29" i="17"/>
  <c r="H30" i="16"/>
  <c r="I30" i="16" s="1"/>
  <c r="E31" i="16"/>
  <c r="H31" i="15"/>
  <c r="E32" i="15"/>
  <c r="H30" i="15"/>
  <c r="I30" i="15" s="1"/>
  <c r="H32" i="14"/>
  <c r="E34" i="14"/>
  <c r="H31" i="14"/>
  <c r="F31" i="13"/>
  <c r="G31" i="13" s="1"/>
  <c r="C32" i="13"/>
  <c r="G9" i="1" s="1"/>
  <c r="H31" i="12"/>
  <c r="E32" i="12"/>
  <c r="F32" i="11"/>
  <c r="C33" i="11"/>
  <c r="F31" i="11"/>
  <c r="C32" i="10"/>
  <c r="E31" i="9"/>
  <c r="H30" i="9"/>
  <c r="C32" i="8"/>
  <c r="F21" i="6"/>
  <c r="F22" i="6" s="1"/>
  <c r="F23" i="6" s="1"/>
  <c r="F24" i="6" s="1"/>
  <c r="F25" i="6" s="1"/>
  <c r="F26" i="6" s="1"/>
  <c r="H21" i="6"/>
  <c r="H32" i="17" l="1"/>
  <c r="D7" i="1"/>
  <c r="E7" i="1" s="1"/>
  <c r="I31" i="15"/>
  <c r="E34" i="13"/>
  <c r="F48" i="20"/>
  <c r="F49" i="20" s="1"/>
  <c r="F50" i="20" s="1"/>
  <c r="F51" i="20" s="1"/>
  <c r="F52" i="20" s="1"/>
  <c r="F53" i="20" s="1"/>
  <c r="F54" i="20" s="1"/>
  <c r="O17" i="20"/>
  <c r="O18" i="20" s="1"/>
  <c r="L16" i="19"/>
  <c r="F17" i="19"/>
  <c r="F18" i="19" s="1"/>
  <c r="F19" i="19" s="1"/>
  <c r="F20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4" i="19" s="1"/>
  <c r="F55" i="19" s="1"/>
  <c r="F56" i="19" s="1"/>
  <c r="F57" i="19" s="1"/>
  <c r="F58" i="19" s="1"/>
  <c r="F59" i="19" s="1"/>
  <c r="C62" i="19"/>
  <c r="L14" i="19"/>
  <c r="M15" i="19" s="1"/>
  <c r="M16" i="19" s="1"/>
  <c r="M17" i="19" s="1"/>
  <c r="H34" i="14"/>
  <c r="E32" i="25"/>
  <c r="C63" i="20"/>
  <c r="E63" i="20"/>
  <c r="E62" i="19"/>
  <c r="F21" i="22"/>
  <c r="F22" i="22" s="1"/>
  <c r="F23" i="22" s="1"/>
  <c r="F24" i="22" s="1"/>
  <c r="H21" i="22"/>
  <c r="I20" i="22"/>
  <c r="E32" i="17"/>
  <c r="H31" i="16"/>
  <c r="I31" i="16" s="1"/>
  <c r="E32" i="16"/>
  <c r="E33" i="15"/>
  <c r="H32" i="15"/>
  <c r="I32" i="15" s="1"/>
  <c r="C33" i="13"/>
  <c r="G10" i="1" s="1"/>
  <c r="F32" i="13"/>
  <c r="G32" i="13" s="1"/>
  <c r="H32" i="12"/>
  <c r="E33" i="12"/>
  <c r="F33" i="11"/>
  <c r="C34" i="11"/>
  <c r="C33" i="10"/>
  <c r="F32" i="10"/>
  <c r="I30" i="9"/>
  <c r="E32" i="9"/>
  <c r="H31" i="9"/>
  <c r="C33" i="8"/>
  <c r="F32" i="8"/>
  <c r="H22" i="6"/>
  <c r="J21" i="6"/>
  <c r="D8" i="1" l="1"/>
  <c r="E8" i="1" s="1"/>
  <c r="E35" i="13"/>
  <c r="I31" i="9"/>
  <c r="D9" i="1"/>
  <c r="E9" i="1" s="1"/>
  <c r="E33" i="25"/>
  <c r="E35" i="25" s="1"/>
  <c r="H22" i="22"/>
  <c r="I21" i="22"/>
  <c r="F25" i="22"/>
  <c r="F26" i="22" s="1"/>
  <c r="F27" i="22" s="1"/>
  <c r="F28" i="22" s="1"/>
  <c r="E33" i="16"/>
  <c r="H33" i="16" s="1"/>
  <c r="H32" i="16"/>
  <c r="H35" i="16" s="1"/>
  <c r="E35" i="16"/>
  <c r="H33" i="15"/>
  <c r="H35" i="15" s="1"/>
  <c r="E35" i="15"/>
  <c r="C34" i="13"/>
  <c r="G11" i="1" s="1"/>
  <c r="F33" i="13"/>
  <c r="G33" i="13" s="1"/>
  <c r="E34" i="12"/>
  <c r="H33" i="12"/>
  <c r="F34" i="11"/>
  <c r="F33" i="10"/>
  <c r="G32" i="10"/>
  <c r="E33" i="9"/>
  <c r="H32" i="9"/>
  <c r="G32" i="8"/>
  <c r="F33" i="8"/>
  <c r="J22" i="6"/>
  <c r="H23" i="6"/>
  <c r="E36" i="13" l="1"/>
  <c r="G33" i="8"/>
  <c r="G33" i="10"/>
  <c r="I32" i="16"/>
  <c r="I33" i="16" s="1"/>
  <c r="I33" i="15"/>
  <c r="H35" i="25"/>
  <c r="F29" i="22"/>
  <c r="F30" i="22" s="1"/>
  <c r="F31" i="22" s="1"/>
  <c r="F32" i="22" s="1"/>
  <c r="H23" i="22"/>
  <c r="I22" i="22"/>
  <c r="C35" i="13"/>
  <c r="F34" i="13"/>
  <c r="G34" i="13" s="1"/>
  <c r="H34" i="12"/>
  <c r="E35" i="12"/>
  <c r="H33" i="9"/>
  <c r="H35" i="9" s="1"/>
  <c r="E35" i="9"/>
  <c r="I32" i="9"/>
  <c r="I33" i="9" s="1"/>
  <c r="H24" i="6"/>
  <c r="J23" i="6"/>
  <c r="E37" i="13" l="1"/>
  <c r="H24" i="22"/>
  <c r="I23" i="22"/>
  <c r="F33" i="22"/>
  <c r="F34" i="22" s="1"/>
  <c r="F35" i="22" s="1"/>
  <c r="F36" i="22" s="1"/>
  <c r="F35" i="13"/>
  <c r="G35" i="13" s="1"/>
  <c r="C36" i="13"/>
  <c r="H35" i="12"/>
  <c r="E36" i="12"/>
  <c r="F40" i="11"/>
  <c r="C40" i="11"/>
  <c r="J24" i="6"/>
  <c r="H25" i="6"/>
  <c r="D10" i="1" l="1"/>
  <c r="E10" i="1" s="1"/>
  <c r="C37" i="13"/>
  <c r="I24" i="22"/>
  <c r="H25" i="22"/>
  <c r="F37" i="22"/>
  <c r="F38" i="22" s="1"/>
  <c r="F39" i="22" s="1"/>
  <c r="F40" i="22" s="1"/>
  <c r="F36" i="13"/>
  <c r="G36" i="13" s="1"/>
  <c r="H36" i="12"/>
  <c r="H39" i="12" s="1"/>
  <c r="E39" i="12"/>
  <c r="H26" i="6"/>
  <c r="J26" i="6" s="1"/>
  <c r="J25" i="6"/>
  <c r="D11" i="1" l="1"/>
  <c r="E11" i="1" s="1"/>
  <c r="F37" i="13"/>
  <c r="F41" i="22"/>
  <c r="F42" i="22" s="1"/>
  <c r="F43" i="22" s="1"/>
  <c r="F44" i="22" s="1"/>
  <c r="F45" i="22" s="1"/>
  <c r="H26" i="22"/>
  <c r="I25" i="22"/>
  <c r="G37" i="13"/>
  <c r="F41" i="10"/>
  <c r="C41" i="10"/>
  <c r="F41" i="8"/>
  <c r="C41" i="8"/>
  <c r="D12" i="1" l="1"/>
  <c r="E12" i="1" s="1"/>
  <c r="H27" i="22"/>
  <c r="I26" i="22"/>
  <c r="D13" i="1" l="1"/>
  <c r="E13" i="1" s="1"/>
  <c r="I27" i="22"/>
  <c r="H28" i="22"/>
  <c r="F42" i="13"/>
  <c r="C42" i="13"/>
  <c r="D14" i="1" l="1"/>
  <c r="E14" i="1" s="1"/>
  <c r="I28" i="22"/>
  <c r="H29" i="22"/>
  <c r="D15" i="1" l="1"/>
  <c r="E15" i="1" s="1"/>
  <c r="H30" i="22"/>
  <c r="I29" i="22"/>
  <c r="H31" i="22" l="1"/>
  <c r="I30" i="22"/>
  <c r="H32" i="22" l="1"/>
  <c r="I31" i="22"/>
  <c r="H33" i="22" l="1"/>
  <c r="I32" i="22"/>
  <c r="H34" i="22" l="1"/>
  <c r="I33" i="22"/>
  <c r="H35" i="22" l="1"/>
  <c r="I34" i="22"/>
  <c r="H36" i="22" l="1"/>
  <c r="I35" i="22"/>
  <c r="H37" i="22" l="1"/>
  <c r="I36" i="22"/>
  <c r="H38" i="22" l="1"/>
  <c r="I37" i="22"/>
  <c r="H39" i="22" l="1"/>
  <c r="I38" i="22"/>
  <c r="I39" i="22" l="1"/>
  <c r="H40" i="22"/>
  <c r="I40" i="22" l="1"/>
  <c r="H41" i="22"/>
  <c r="H42" i="22" l="1"/>
  <c r="I41" i="22"/>
  <c r="H43" i="22" l="1"/>
  <c r="I42" i="22"/>
  <c r="I43" i="22" l="1"/>
  <c r="H44" i="22"/>
  <c r="I44" i="22" l="1"/>
  <c r="H45" i="22"/>
  <c r="I45" i="22" s="1"/>
  <c r="D21" i="5" l="1"/>
  <c r="C13" i="5"/>
  <c r="C14" i="5" s="1"/>
  <c r="F12" i="5"/>
  <c r="D22" i="4"/>
  <c r="C13" i="4"/>
  <c r="F12" i="4"/>
  <c r="D21" i="3"/>
  <c r="C13" i="3"/>
  <c r="F13" i="3" s="1"/>
  <c r="F12" i="3"/>
  <c r="C21" i="2"/>
  <c r="F21" i="2"/>
  <c r="D21" i="2"/>
  <c r="F19" i="2"/>
  <c r="F18" i="2"/>
  <c r="F17" i="2"/>
  <c r="F16" i="2"/>
  <c r="F15" i="2"/>
  <c r="F14" i="2"/>
  <c r="F13" i="2"/>
  <c r="G13" i="2"/>
  <c r="G14" i="2" s="1"/>
  <c r="G15" i="2" s="1"/>
  <c r="G16" i="2" s="1"/>
  <c r="G17" i="2" s="1"/>
  <c r="G18" i="2" s="1"/>
  <c r="G12" i="4" l="1"/>
  <c r="N12" i="4" s="1"/>
  <c r="M12" i="4"/>
  <c r="L12" i="4"/>
  <c r="L13" i="4" s="1"/>
  <c r="L14" i="4" s="1"/>
  <c r="E13" i="4"/>
  <c r="E14" i="4" s="1"/>
  <c r="E15" i="4" s="1"/>
  <c r="E16" i="4" s="1"/>
  <c r="E17" i="4" s="1"/>
  <c r="E18" i="4" s="1"/>
  <c r="G12" i="3"/>
  <c r="G13" i="3" s="1"/>
  <c r="C15" i="5"/>
  <c r="F14" i="5"/>
  <c r="F13" i="5"/>
  <c r="F13" i="4"/>
  <c r="C14" i="4"/>
  <c r="J13" i="4" s="1"/>
  <c r="G12" i="1" s="1"/>
  <c r="C14" i="3"/>
  <c r="G13" i="4" l="1"/>
  <c r="C16" i="5"/>
  <c r="F15" i="5"/>
  <c r="G13" i="5"/>
  <c r="G14" i="5" s="1"/>
  <c r="F14" i="4"/>
  <c r="G14" i="4" s="1"/>
  <c r="C15" i="4"/>
  <c r="F14" i="3"/>
  <c r="C15" i="3"/>
  <c r="M13" i="4" l="1"/>
  <c r="N13" i="4" s="1"/>
  <c r="F16" i="5"/>
  <c r="C17" i="5"/>
  <c r="G15" i="5"/>
  <c r="C16" i="4"/>
  <c r="J14" i="4" s="1"/>
  <c r="G13" i="1" s="1"/>
  <c r="F15" i="4"/>
  <c r="F15" i="3"/>
  <c r="C16" i="3"/>
  <c r="G14" i="3"/>
  <c r="G15" i="4" l="1"/>
  <c r="G16" i="5"/>
  <c r="C18" i="5"/>
  <c r="F17" i="5"/>
  <c r="F16" i="4"/>
  <c r="G16" i="4" s="1"/>
  <c r="C17" i="4"/>
  <c r="F16" i="3"/>
  <c r="C17" i="3"/>
  <c r="G15" i="3"/>
  <c r="M14" i="4" l="1"/>
  <c r="N14" i="4" s="1"/>
  <c r="G17" i="5"/>
  <c r="C19" i="5"/>
  <c r="F19" i="5" s="1"/>
  <c r="F18" i="5"/>
  <c r="G18" i="5" s="1"/>
  <c r="C18" i="4"/>
  <c r="F17" i="4"/>
  <c r="G17" i="4"/>
  <c r="G16" i="3"/>
  <c r="F17" i="3"/>
  <c r="C18" i="3"/>
  <c r="F21" i="5" l="1"/>
  <c r="G17" i="3"/>
  <c r="C21" i="5"/>
  <c r="F18" i="4"/>
  <c r="G18" i="4" s="1"/>
  <c r="C22" i="4"/>
  <c r="C19" i="3"/>
  <c r="F19" i="3" s="1"/>
  <c r="F21" i="3" s="1"/>
  <c r="F18" i="3"/>
  <c r="G18" i="3" s="1"/>
  <c r="C21" i="3"/>
  <c r="M16" i="4" l="1"/>
  <c r="J16" i="4"/>
  <c r="G15" i="1" s="1"/>
  <c r="N15" i="4"/>
  <c r="F22" i="4"/>
  <c r="N16" i="4" l="1"/>
</calcChain>
</file>

<file path=xl/sharedStrings.xml><?xml version="1.0" encoding="utf-8"?>
<sst xmlns="http://schemas.openxmlformats.org/spreadsheetml/2006/main" count="868" uniqueCount="221">
  <si>
    <t>Fiscal</t>
  </si>
  <si>
    <t>Total</t>
  </si>
  <si>
    <t>Year</t>
  </si>
  <si>
    <t>Principal</t>
  </si>
  <si>
    <t>Interest</t>
  </si>
  <si>
    <t>in Millions</t>
  </si>
  <si>
    <t>Travis County ESD No. 2</t>
  </si>
  <si>
    <t>As of September 30, 2022</t>
  </si>
  <si>
    <t>SCHEDULE NO. 8639200 - MASTER EQUIPMENT LEASE-PURCHASE AGREEMENT</t>
  </si>
  <si>
    <t>LEASE PAYMENT SCHEDULE</t>
  </si>
  <si>
    <r>
      <t xml:space="preserve">Master Lease No.:  </t>
    </r>
    <r>
      <rPr>
        <b/>
        <sz val="11"/>
        <color theme="1"/>
        <rFont val="Calibri"/>
        <family val="2"/>
        <scheme val="minor"/>
      </rPr>
      <t>8639200</t>
    </r>
  </si>
  <si>
    <r>
      <t xml:space="preserve">Interest Rate: 6.25%,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</si>
  <si>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01/28/2016</t>
  </si>
  <si>
    <t>Lease Payment Number</t>
  </si>
  <si>
    <t>Lease Payment Date</t>
  </si>
  <si>
    <t>Lease Payment</t>
  </si>
  <si>
    <t>Interest Portion</t>
  </si>
  <si>
    <t>Principal Portion</t>
  </si>
  <si>
    <t>Totals</t>
  </si>
  <si>
    <t>Ford Motor Credit</t>
  </si>
  <si>
    <t>SCHEDULE NO. 8639201 - MASTER EQUIPMENT LEASE-PURCHASE AGREEMENT</t>
  </si>
  <si>
    <r>
      <t xml:space="preserve">Interest Rate: 5.75%,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</si>
  <si>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03/09/2016</t>
  </si>
  <si>
    <t>SCHEDULE NO. 8639203 - MASTER EQUIPMENT LEASE-PURCHASE AGREEMENT</t>
  </si>
  <si>
    <r>
      <t xml:space="preserve">Interest Rate: 5.45%,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</si>
  <si>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07/20/2018</t>
  </si>
  <si>
    <t>SCHEDULE NO. 8639202 - MASTER EQUIPMENT LEASE-PURCHASE AGREEMENT</t>
  </si>
  <si>
    <t>Commencement Date of Schedule:  04/13/2016</t>
  </si>
  <si>
    <t>Beginning</t>
  </si>
  <si>
    <t>Balance</t>
  </si>
  <si>
    <t>Pmt #</t>
  </si>
  <si>
    <t>Date</t>
  </si>
  <si>
    <t>Payment</t>
  </si>
  <si>
    <t>Outstanding P&amp;I</t>
  </si>
  <si>
    <t>WELLS FARGO BANK NA</t>
  </si>
  <si>
    <t>AMORTIZATION SCHEDULE</t>
  </si>
  <si>
    <t xml:space="preserve">Borrower </t>
  </si>
  <si>
    <t>Finance Amount</t>
  </si>
  <si>
    <t>Rate</t>
  </si>
  <si>
    <t># Payments</t>
  </si>
  <si>
    <t>Freq/yr</t>
  </si>
  <si>
    <t>Accrual Method</t>
  </si>
  <si>
    <t>TRAVIS COUNTY ESD NO. 2</t>
  </si>
  <si>
    <t>30/360</t>
  </si>
  <si>
    <t>Closing date</t>
  </si>
  <si>
    <t>First Payment</t>
  </si>
  <si>
    <t>Maturity date</t>
  </si>
  <si>
    <t>263974551-34</t>
  </si>
  <si>
    <t>0263974551-26</t>
  </si>
  <si>
    <t>7/1/205</t>
  </si>
  <si>
    <t>PMT#</t>
  </si>
  <si>
    <t>DATE</t>
  </si>
  <si>
    <t>PAYMENT</t>
  </si>
  <si>
    <t>INTEREST</t>
  </si>
  <si>
    <t>PRINCIPAL</t>
  </si>
  <si>
    <t>FY15</t>
  </si>
  <si>
    <t>FY16</t>
  </si>
  <si>
    <t>FY17</t>
  </si>
  <si>
    <t>FY18</t>
  </si>
  <si>
    <t>FY19</t>
  </si>
  <si>
    <t>FY20</t>
  </si>
  <si>
    <t>FY21</t>
  </si>
  <si>
    <t>PNC 202872000</t>
  </si>
  <si>
    <t>1.     EQUIPMENT LOCATION &amp; DESCRIPTION:</t>
  </si>
  <si>
    <t>Travis County Emergency Services District No.2</t>
  </si>
  <si>
    <t>203 E. Pecan Street</t>
  </si>
  <si>
    <t>Pflugerville, TX 78660</t>
  </si>
  <si>
    <t>Travis County</t>
  </si>
  <si>
    <t>2018 Pierce Enforcer PUC Pumper VIN #494</t>
  </si>
  <si>
    <t>2.     LEASE PAYMENT SCHEDULE.</t>
  </si>
  <si>
    <t>(a)   Accrual Date:</t>
  </si>
  <si>
    <t>(b)   Amount Financed:</t>
  </si>
  <si>
    <t>i.</t>
  </si>
  <si>
    <t>Equipment Purchase Price</t>
  </si>
  <si>
    <t>ii.</t>
  </si>
  <si>
    <t>Purchased Price Deduction</t>
  </si>
  <si>
    <t>Prepay Discounts</t>
  </si>
  <si>
    <t>Trade In</t>
  </si>
  <si>
    <t>iii.</t>
  </si>
  <si>
    <t>Total Amount Financed (Cash Sale Price minus Purchase Price Deductions)</t>
  </si>
  <si>
    <t>(c)   Payment Schedule</t>
  </si>
  <si>
    <t>Accrual Date:</t>
  </si>
  <si>
    <t>Rent Payment</t>
  </si>
  <si>
    <t>Termination</t>
  </si>
  <si>
    <t>Number</t>
  </si>
  <si>
    <t>Amount</t>
  </si>
  <si>
    <t>Portion</t>
  </si>
  <si>
    <t>Value</t>
  </si>
  <si>
    <t>FY22</t>
  </si>
  <si>
    <t>LEASE-PURCHASE AGREEMENT</t>
  </si>
  <si>
    <t>PNC 202871000</t>
  </si>
  <si>
    <t>Skeeter Lifted Brush Truck</t>
  </si>
  <si>
    <t>(c)   Payment Schedule:</t>
  </si>
  <si>
    <t>PNC 202859000</t>
  </si>
  <si>
    <t>2018 Pierce FXP Pumper VIN #583</t>
  </si>
  <si>
    <t>2016 Pierce 105' HD Ladder</t>
  </si>
  <si>
    <t>VIN # 038</t>
  </si>
  <si>
    <t>Principal Balance</t>
  </si>
  <si>
    <t>PNC193446000</t>
  </si>
  <si>
    <t>2015 Pierce Velocity Pumper</t>
  </si>
  <si>
    <t>VIN #083</t>
  </si>
  <si>
    <t>PNC189649000</t>
  </si>
  <si>
    <t>PNC 172606000</t>
  </si>
  <si>
    <t>VIN #563</t>
  </si>
  <si>
    <t xml:space="preserve">Qty 3 - Ford 2 Door Wheeled Ambulance Type 1 </t>
  </si>
  <si>
    <t>PNC 204070000</t>
  </si>
  <si>
    <t>2012 Pierce Arrow XT PUC</t>
  </si>
  <si>
    <t>2006 Pierce Quantum</t>
  </si>
  <si>
    <t>PNC 179683000</t>
  </si>
  <si>
    <t>2016 Road Rescue Medtromedic VIN #802</t>
  </si>
  <si>
    <t>2016 Road Rescue Medtromedic VIN #141</t>
  </si>
  <si>
    <t>PNC 194379000</t>
  </si>
  <si>
    <t>PNC 201340000</t>
  </si>
  <si>
    <t>263974551-42</t>
  </si>
  <si>
    <t>Amortization Term</t>
  </si>
  <si>
    <t>Amort Years</t>
  </si>
  <si>
    <t>Maturity Years</t>
  </si>
  <si>
    <t>PMT #</t>
  </si>
  <si>
    <t>Interest Balance</t>
  </si>
  <si>
    <t>P&amp;I Balance</t>
  </si>
  <si>
    <t>Event</t>
  </si>
  <si>
    <t>Period</t>
  </si>
  <si>
    <t>End Date</t>
  </si>
  <si>
    <t>Loan</t>
  </si>
  <si>
    <t>Monthly</t>
  </si>
  <si>
    <t>AMORTIZATION SCHEDULE ‐ Normal Amortization</t>
  </si>
  <si>
    <t>2017 Totals</t>
  </si>
  <si>
    <t>2018 Totals</t>
  </si>
  <si>
    <t>2019 Totals</t>
  </si>
  <si>
    <t>2020 Totals</t>
  </si>
  <si>
    <t>Grand Totals</t>
  </si>
  <si>
    <t>Xerox 010‐0026313-002</t>
  </si>
  <si>
    <t>Lease term 36 months</t>
  </si>
  <si>
    <t>Copiers</t>
  </si>
  <si>
    <t>Lease</t>
  </si>
  <si>
    <t>Due Date</t>
  </si>
  <si>
    <t>2021 Totals</t>
  </si>
  <si>
    <t>Principal Outstanding</t>
  </si>
  <si>
    <t>GEN-AD-7374-000</t>
  </si>
  <si>
    <t>Service</t>
  </si>
  <si>
    <t>GEN-LG-5317-000</t>
  </si>
  <si>
    <t>Payoff amount</t>
  </si>
  <si>
    <t>GEN-LG-7384-000</t>
  </si>
  <si>
    <t>Xerox 010‐0031798-002</t>
  </si>
  <si>
    <t>2nd Floor Admin Copier</t>
  </si>
  <si>
    <t>Xerox 010‐0031798‐001</t>
  </si>
  <si>
    <t>Sharp InteractiveWhite Boards</t>
  </si>
  <si>
    <t>SCHEDULE A</t>
  </si>
  <si>
    <t>SCHEDULD OF PAYMENTS &amp; EARLY REDEMPTION VALUE</t>
  </si>
  <si>
    <t>PMT</t>
  </si>
  <si>
    <t>PMT DATE</t>
  </si>
  <si>
    <t>TOTAL</t>
  </si>
  <si>
    <t>EARLY REDEMPTION VALUE</t>
  </si>
  <si>
    <t>NO.</t>
  </si>
  <si>
    <t>MO.   DAY   YR</t>
  </si>
  <si>
    <t>PAID</t>
  </si>
  <si>
    <t>after pmt on this line</t>
  </si>
  <si>
    <t>N/A</t>
  </si>
  <si>
    <t>Interest Rate: 4.215%</t>
  </si>
  <si>
    <t>2005 Pierce Quantum</t>
  </si>
  <si>
    <t>VIN #456</t>
  </si>
  <si>
    <t>PNC 172086000</t>
  </si>
  <si>
    <t>One (1) 2016 Type I Wheeled Coach Ambulance</t>
  </si>
  <si>
    <r>
      <rPr>
        <b/>
        <sz val="16"/>
        <rFont val="Verdana"/>
        <family val="2"/>
      </rPr>
      <t xml:space="preserve">SCHEDULE B
</t>
    </r>
    <r>
      <rPr>
        <b/>
        <sz val="12"/>
        <rFont val="Verdana"/>
        <family val="2"/>
      </rPr>
      <t xml:space="preserve">&gt;&gt; SCHEDULE OF PAYMENTS &amp; OPTION TO PURCHASE &lt;&lt;
</t>
    </r>
    <r>
      <rPr>
        <b/>
        <sz val="10"/>
        <rFont val="Verdana"/>
        <family val="2"/>
      </rPr>
      <t xml:space="preserve">PROMISSORY NOTE AGREEMENT No. 9950 (THE "NOTE")
</t>
    </r>
    <r>
      <rPr>
        <sz val="10"/>
        <rFont val="Verdana"/>
        <family val="2"/>
      </rPr>
      <t xml:space="preserve">BY AND BETWEEN
</t>
    </r>
    <r>
      <rPr>
        <b/>
        <sz val="9"/>
        <rFont val="Verdana"/>
        <family val="2"/>
      </rPr>
      <t xml:space="preserve">Lender: </t>
    </r>
    <r>
      <rPr>
        <sz val="10"/>
        <rFont val="Verdana"/>
        <family val="2"/>
      </rPr>
      <t xml:space="preserve">FirstBank Southwest </t>
    </r>
    <r>
      <rPr>
        <sz val="9"/>
        <rFont val="Verdana"/>
        <family val="2"/>
      </rPr>
      <t xml:space="preserve">and
</t>
    </r>
    <r>
      <rPr>
        <b/>
        <sz val="9"/>
        <rFont val="Verdana"/>
        <family val="2"/>
      </rPr>
      <t xml:space="preserve">Borrower: </t>
    </r>
    <r>
      <rPr>
        <sz val="10"/>
        <rFont val="Verdana"/>
        <family val="2"/>
      </rPr>
      <t>Travis County Emergency Services District No. 2 Dated as of May 26, 2022</t>
    </r>
  </si>
  <si>
    <r>
      <rPr>
        <b/>
        <sz val="9"/>
        <rFont val="Verdana"/>
        <family val="2"/>
      </rPr>
      <t>PMT
NO.</t>
    </r>
  </si>
  <si>
    <r>
      <rPr>
        <b/>
        <sz val="9"/>
        <rFont val="Verdana"/>
        <family val="2"/>
      </rPr>
      <t>PMT DATE
MO.  DAY YR</t>
    </r>
  </si>
  <si>
    <r>
      <rPr>
        <b/>
        <sz val="9"/>
        <rFont val="Verdana"/>
        <family val="2"/>
      </rPr>
      <t>TOTAL
PAYMENT</t>
    </r>
  </si>
  <si>
    <r>
      <rPr>
        <b/>
        <sz val="9"/>
        <rFont val="Verdana"/>
        <family val="2"/>
      </rPr>
      <t>INTEREST
PAID</t>
    </r>
  </si>
  <si>
    <r>
      <rPr>
        <b/>
        <sz val="9"/>
        <rFont val="Verdana"/>
        <family val="2"/>
      </rPr>
      <t>PRINCIPAL
PAID</t>
    </r>
  </si>
  <si>
    <t>Total P&amp;I Outstanding</t>
  </si>
  <si>
    <t>As of:</t>
  </si>
  <si>
    <r>
      <rPr>
        <b/>
        <sz val="9"/>
        <rFont val="Verdana"/>
        <family val="2"/>
      </rPr>
      <t>Option to Purchase
after pmt on this line</t>
    </r>
  </si>
  <si>
    <r>
      <rPr>
        <sz val="10"/>
        <rFont val="Verdana"/>
        <family val="2"/>
      </rPr>
      <t>Interest Rate: 3.00%</t>
    </r>
  </si>
  <si>
    <t>Inception 6/27/18</t>
  </si>
  <si>
    <r>
      <rPr>
        <b/>
        <sz val="16.5"/>
        <rFont val="Times New Roman"/>
        <family val="1"/>
      </rPr>
      <t xml:space="preserve">SCHEDULE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
</t>
    </r>
    <r>
      <rPr>
        <b/>
        <sz val="10"/>
        <rFont val="Arial"/>
        <family val="2"/>
      </rPr>
      <t>PROMISSORY  NOTE AGREEMENT  NO.8740  (THE "NOTE")</t>
    </r>
    <r>
      <rPr>
        <sz val="10"/>
        <rFont val="Arial"/>
        <family val="2"/>
      </rPr>
      <t xml:space="preserve"> 
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and
</t>
    </r>
    <r>
      <rPr>
        <b/>
        <sz val="11"/>
        <rFont val="Arial"/>
        <family val="2"/>
      </rPr>
      <t xml:space="preserve">Borrower: </t>
    </r>
    <r>
      <rPr>
        <sz val="11"/>
        <rFont val="Arial"/>
        <family val="2"/>
      </rPr>
      <t>Travis  County Emergency  Services  District No.2 
Dated as of  August 22,  2019</t>
    </r>
  </si>
  <si>
    <r>
      <rPr>
        <sz val="10"/>
        <rFont val="Arial"/>
        <family val="2"/>
      </rPr>
      <t>PMT NO.</t>
    </r>
  </si>
  <si>
    <r>
      <rPr>
        <sz val="10"/>
        <rFont val="Arial"/>
        <family val="2"/>
      </rPr>
      <t>PMT DATE MO.   DAY   YR</t>
    </r>
  </si>
  <si>
    <r>
      <rPr>
        <sz val="10"/>
        <rFont val="Arial"/>
        <family val="2"/>
      </rPr>
      <t>TOTAL PAYMENT</t>
    </r>
  </si>
  <si>
    <r>
      <rPr>
        <sz val="10"/>
        <rFont val="Arial"/>
        <family val="2"/>
      </rPr>
      <t>INTEREST PAID</t>
    </r>
  </si>
  <si>
    <r>
      <rPr>
        <sz val="10"/>
        <rFont val="Arial"/>
        <family val="2"/>
      </rPr>
      <t>PRINCIPAL PAID</t>
    </r>
  </si>
  <si>
    <r>
      <rPr>
        <sz val="10"/>
        <rFont val="Arial"/>
        <family val="2"/>
      </rPr>
      <t xml:space="preserve">EARLY REDEMPTION  VALUE
</t>
    </r>
    <r>
      <rPr>
        <sz val="10"/>
        <rFont val="Arial"/>
        <family val="2"/>
      </rPr>
      <t xml:space="preserve">after </t>
    </r>
    <r>
      <rPr>
        <u/>
        <sz val="10"/>
        <rFont val="Arial"/>
        <family val="2"/>
      </rPr>
      <t>pmt</t>
    </r>
    <r>
      <rPr>
        <sz val="10"/>
        <rFont val="Arial"/>
        <family val="2"/>
      </rPr>
      <t xml:space="preserve"> on this line</t>
    </r>
  </si>
  <si>
    <r>
      <rPr>
        <sz val="10"/>
        <rFont val="Arial"/>
        <family val="2"/>
      </rPr>
      <t>N/A</t>
    </r>
  </si>
  <si>
    <t>Interest Rate:  3.644%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</si>
  <si>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
</t>
    </r>
    <r>
      <rPr>
        <sz val="10"/>
        <rFont val="Arial"/>
        <family val="2"/>
      </rPr>
      <t xml:space="preserve">PROMISSORY  NOTE AGREEMENT  and  SECURITY  AGREEMENT  NO.8839  (THE "NOTE") 
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
dated as of  November 8, 2020</t>
    </r>
  </si>
  <si>
    <t>PMT NO.</t>
  </si>
  <si>
    <t>PMT DATE MO.   DAY   YR</t>
  </si>
  <si>
    <t>TOTAL PAYMENT</t>
  </si>
  <si>
    <t>INTEREST PAID</t>
  </si>
  <si>
    <t>PRINCIPAL PAID</t>
  </si>
  <si>
    <r>
      <rPr>
        <b/>
        <sz val="10"/>
        <rFont val="Arial"/>
        <family val="2"/>
      </rPr>
      <t xml:space="preserve">EARLY REDEMPTION  VALUE
after </t>
    </r>
    <r>
      <rPr>
        <b/>
        <u/>
        <sz val="10"/>
        <rFont val="Arial"/>
        <family val="2"/>
      </rPr>
      <t>pmt</t>
    </r>
    <r>
      <rPr>
        <b/>
        <sz val="10"/>
        <rFont val="Arial"/>
        <family val="2"/>
      </rPr>
      <t xml:space="preserve"> on this line</t>
    </r>
  </si>
  <si>
    <t>Interest Rate:  2.73%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</si>
  <si>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NO.9163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11,  2020</t>
    </r>
  </si>
  <si>
    <r>
      <rPr>
        <b/>
        <sz val="10"/>
        <rFont val="Calibri"/>
        <family val="2"/>
      </rPr>
      <t xml:space="preserve">EARLY REDEMPTION  VALUE
after </t>
    </r>
    <r>
      <rPr>
        <b/>
        <u/>
        <sz val="10"/>
        <rFont val="Calibri"/>
        <family val="2"/>
      </rPr>
      <t>pmt</t>
    </r>
    <r>
      <rPr>
        <b/>
        <sz val="10"/>
        <rFont val="Calibri"/>
        <family val="2"/>
      </rPr>
      <t xml:space="preserve"> on this line</t>
    </r>
  </si>
  <si>
    <t>Interest Rate:  2.44%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</si>
  <si>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NO.9177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25,  2020</t>
    </r>
  </si>
  <si>
    <t>Interest Rate:  2.35%</t>
  </si>
  <si>
    <r>
      <rPr>
        <sz val="16"/>
        <rFont val="Calibri"/>
        <family val="2"/>
        <scheme val="minor"/>
      </rPr>
      <t xml:space="preserve">SCHEDULE B
</t>
    </r>
    <r>
      <rPr>
        <sz val="15"/>
        <rFont val="Calibri"/>
        <family val="2"/>
        <scheme val="minor"/>
      </rPr>
      <t xml:space="preserve">&gt;&gt;  </t>
    </r>
    <r>
      <rPr>
        <sz val="12"/>
        <rFont val="Calibri"/>
        <family val="2"/>
        <scheme val="minor"/>
      </rPr>
      <t xml:space="preserve">SCHEDULE OF PAYMENTS &amp; OPTION TO PURCHASE&lt;&lt;
</t>
    </r>
    <r>
      <rPr>
        <sz val="10"/>
        <rFont val="Calibri"/>
        <family val="2"/>
        <scheme val="minor"/>
      </rPr>
      <t xml:space="preserve">PROMISSORY NOTE AGREEMENT No.  9840 (THE "NOTE")
BY AND BETWEEN
</t>
    </r>
    <r>
      <rPr>
        <sz val="9.5"/>
        <rFont val="Calibri"/>
        <family val="2"/>
        <scheme val="minor"/>
      </rPr>
      <t xml:space="preserve">Lender: </t>
    </r>
    <r>
      <rPr>
        <sz val="10"/>
        <rFont val="Calibri"/>
        <family val="2"/>
        <scheme val="minor"/>
      </rPr>
      <t xml:space="preserve">Southside Bank and
</t>
    </r>
    <r>
      <rPr>
        <sz val="9.5"/>
        <rFont val="Calibri"/>
        <family val="2"/>
        <scheme val="minor"/>
      </rPr>
      <t xml:space="preserve">Borrower: </t>
    </r>
    <r>
      <rPr>
        <sz val="10"/>
        <rFont val="Calibri"/>
        <family val="2"/>
        <scheme val="minor"/>
      </rPr>
      <t>Travis County Emergency Services District No. 2 Dated as of March 1,  2022</t>
    </r>
  </si>
  <si>
    <t>Pmt No</t>
  </si>
  <si>
    <t>Pmt Date</t>
  </si>
  <si>
    <t>Total Payment</t>
  </si>
  <si>
    <t>Interest Paid</t>
  </si>
  <si>
    <t>Principal Paid</t>
  </si>
  <si>
    <t>Option to purchase price</t>
  </si>
  <si>
    <t>Interest Rate:  2.76%</t>
  </si>
  <si>
    <t>PRINCIPAL BALANCE</t>
  </si>
  <si>
    <t>INTEREST BALANCE</t>
  </si>
  <si>
    <t>INTEREST PORTION</t>
  </si>
  <si>
    <t>PRINCIPAL PORTION</t>
  </si>
  <si>
    <t>FISCAL YEAR</t>
  </si>
  <si>
    <t>End date</t>
  </si>
  <si>
    <t>Total Outstanding Principal and Related Interest balances by Fiscal Year</t>
  </si>
  <si>
    <t>Payments</t>
  </si>
  <si>
    <t>PAYOFF</t>
  </si>
  <si>
    <t>The District paid this obligation in full in August 2021</t>
  </si>
  <si>
    <t>Final Payment made May 2022</t>
  </si>
  <si>
    <t>Final payment April 2021</t>
  </si>
  <si>
    <t>The District paid this obligation in full in July 2021</t>
  </si>
  <si>
    <t>Final Payment made Jan 2022</t>
  </si>
  <si>
    <t>The District paid this obligation in full in July  2021</t>
  </si>
  <si>
    <t>The District paid this obligation in Full in August 2021</t>
  </si>
  <si>
    <t>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</si>
</sst>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\ d\,\ yyyy;@"/>
    <numFmt numFmtId="166" formatCode="&quot;$&quot;#,##0.00"/>
    <numFmt numFmtId="167" formatCode="mm/dd/yyyy;@"/>
    <numFmt numFmtId="168" formatCode="\$#,##0.00"/>
    <numFmt numFmtId="169" formatCode="m/dd/yyyy;@"/>
    <numFmt numFmtId="170" formatCode="\$0.00"/>
    <numFmt numFmtId="171" formatCode="_(&quot;$&quot;* #,##0.0000000000000000_);_(&quot;$&quot;* \(#,##0.0000000000000000\);_(&quot;$&quot;* &quot;-&quot;??_);_(@_)"/>
    <numFmt numFmtId="172" formatCode="m/d/yyyy;@"/>
    <numFmt numFmtId="173" formatCode="_(&quot;$&quot;* #,##0.0000000000_);_(&quot;$&quot;* \(#,##0.0000000000\);_(&quot;$&quot;* &quot;-&quot;??_);_(@_)"/>
    <numFmt numFmtId="175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u/>
      <sz val="12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sz val="16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2"/>
      <color rgb="FF000000"/>
      <name val="Times New Roman"/>
      <family val="2"/>
    </font>
    <font>
      <sz val="10"/>
      <name val="Times New Roman"/>
      <family val="1"/>
      <charset val="204"/>
    </font>
    <font>
      <b/>
      <sz val="16.5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sz val="12.5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2"/>
    </font>
    <font>
      <b/>
      <u/>
      <sz val="1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u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8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44" fontId="2" fillId="0" borderId="0" xfId="2" applyFont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2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 vertical="top" indent="2"/>
    </xf>
    <xf numFmtId="0" fontId="8" fillId="0" borderId="0" xfId="0" applyFont="1" applyAlignment="1">
      <alignment horizontal="left" vertical="top" indent="2"/>
    </xf>
    <xf numFmtId="8" fontId="0" fillId="0" borderId="0" xfId="0" applyNumberFormat="1"/>
    <xf numFmtId="0" fontId="9" fillId="0" borderId="0" xfId="0" applyFont="1"/>
    <xf numFmtId="0" fontId="10" fillId="0" borderId="0" xfId="0" applyFont="1"/>
    <xf numFmtId="165" fontId="5" fillId="0" borderId="0" xfId="0" applyNumberFormat="1" applyFont="1" applyAlignment="1">
      <alignment horizontal="center"/>
    </xf>
    <xf numFmtId="166" fontId="5" fillId="0" borderId="0" xfId="2" applyNumberFormat="1" applyFont="1"/>
    <xf numFmtId="0" fontId="0" fillId="0" borderId="0" xfId="0" applyAlignment="1">
      <alignment wrapText="1"/>
    </xf>
    <xf numFmtId="0" fontId="4" fillId="0" borderId="0" xfId="0" applyFont="1"/>
    <xf numFmtId="165" fontId="5" fillId="0" borderId="0" xfId="0" applyNumberFormat="1" applyFont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/>
    <xf numFmtId="43" fontId="0" fillId="0" borderId="0" xfId="0" applyNumberFormat="1" applyFont="1" applyBorder="1"/>
    <xf numFmtId="14" fontId="0" fillId="0" borderId="0" xfId="0" applyNumberFormat="1" applyFont="1" applyBorder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5" fontId="5" fillId="0" borderId="0" xfId="0" applyNumberFormat="1" applyFont="1" applyAlignment="1">
      <alignment horizontal="left"/>
    </xf>
    <xf numFmtId="166" fontId="0" fillId="0" borderId="0" xfId="0" applyNumberFormat="1"/>
    <xf numFmtId="14" fontId="0" fillId="0" borderId="0" xfId="0" applyNumberForma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4" fontId="0" fillId="0" borderId="0" xfId="2" applyFont="1"/>
    <xf numFmtId="0" fontId="0" fillId="0" borderId="0" xfId="0" applyAlignment="1">
      <alignment vertical="center"/>
    </xf>
    <xf numFmtId="44" fontId="0" fillId="0" borderId="0" xfId="2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/>
    </xf>
    <xf numFmtId="44" fontId="14" fillId="0" borderId="0" xfId="2" applyFont="1" applyFill="1" applyBorder="1" applyAlignment="1">
      <alignment horizontal="left" vertical="top"/>
    </xf>
    <xf numFmtId="14" fontId="13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 indent="1"/>
    </xf>
    <xf numFmtId="44" fontId="14" fillId="0" borderId="0" xfId="2" applyFont="1" applyFill="1" applyBorder="1" applyAlignment="1">
      <alignment horizontal="left" vertical="top" indent="1"/>
    </xf>
    <xf numFmtId="44" fontId="13" fillId="0" borderId="0" xfId="0" applyNumberFormat="1" applyFont="1" applyAlignment="1">
      <alignment horizontal="left" vertical="top"/>
    </xf>
    <xf numFmtId="44" fontId="0" fillId="0" borderId="0" xfId="0" applyNumberFormat="1"/>
    <xf numFmtId="0" fontId="2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top"/>
    </xf>
    <xf numFmtId="14" fontId="17" fillId="0" borderId="0" xfId="0" applyNumberFormat="1" applyFont="1" applyAlignment="1">
      <alignment horizontal="center" vertical="top"/>
    </xf>
    <xf numFmtId="43" fontId="17" fillId="0" borderId="0" xfId="1" applyFont="1" applyFill="1" applyBorder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right" vertical="top" wrapText="1"/>
    </xf>
    <xf numFmtId="167" fontId="17" fillId="0" borderId="0" xfId="0" applyNumberFormat="1" applyFont="1" applyAlignment="1">
      <alignment horizontal="center" vertical="top" shrinkToFi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top" shrinkToFit="1"/>
    </xf>
    <xf numFmtId="1" fontId="17" fillId="0" borderId="0" xfId="0" applyNumberFormat="1" applyFont="1" applyAlignment="1">
      <alignment horizontal="right" vertical="top" shrinkToFit="1"/>
    </xf>
    <xf numFmtId="43" fontId="17" fillId="0" borderId="0" xfId="1" applyFont="1" applyFill="1" applyBorder="1" applyAlignment="1">
      <alignment horizontal="center" vertical="top" shrinkToFit="1"/>
    </xf>
    <xf numFmtId="167" fontId="17" fillId="0" borderId="1" xfId="0" applyNumberFormat="1" applyFont="1" applyBorder="1" applyAlignment="1">
      <alignment horizontal="center" vertical="top" shrinkToFit="1"/>
    </xf>
    <xf numFmtId="43" fontId="17" fillId="0" borderId="1" xfId="1" applyFont="1" applyFill="1" applyBorder="1" applyAlignment="1">
      <alignment horizontal="center" vertical="top" shrinkToFit="1"/>
    </xf>
    <xf numFmtId="43" fontId="17" fillId="0" borderId="0" xfId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vertical="top"/>
    </xf>
    <xf numFmtId="43" fontId="18" fillId="0" borderId="0" xfId="1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4" fontId="17" fillId="0" borderId="0" xfId="2" applyFont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  <xf numFmtId="2" fontId="17" fillId="0" borderId="0" xfId="1" applyNumberFormat="1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44" fontId="17" fillId="0" borderId="0" xfId="2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right" vertical="top"/>
    </xf>
    <xf numFmtId="44" fontId="17" fillId="0" borderId="1" xfId="2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44" fontId="17" fillId="0" borderId="0" xfId="2" applyFont="1" applyFill="1" applyBorder="1" applyAlignment="1">
      <alignment vertical="top" shrinkToFit="1"/>
    </xf>
    <xf numFmtId="44" fontId="17" fillId="0" borderId="0" xfId="2" applyFont="1" applyFill="1" applyBorder="1" applyAlignment="1">
      <alignment vertical="center" shrinkToFit="1"/>
    </xf>
    <xf numFmtId="44" fontId="17" fillId="0" borderId="0" xfId="2" applyFont="1" applyFill="1" applyBorder="1" applyAlignment="1">
      <alignment horizontal="left" vertical="top" indent="2" shrinkToFit="1"/>
    </xf>
    <xf numFmtId="44" fontId="18" fillId="0" borderId="0" xfId="2" applyFont="1" applyFill="1" applyBorder="1" applyAlignment="1">
      <alignment horizontal="left" vertical="top"/>
    </xf>
    <xf numFmtId="44" fontId="17" fillId="0" borderId="0" xfId="2" applyFont="1" applyFill="1" applyBorder="1" applyAlignment="1">
      <alignment horizontal="left" vertical="top"/>
    </xf>
    <xf numFmtId="44" fontId="17" fillId="0" borderId="0" xfId="0" applyNumberFormat="1" applyFont="1" applyAlignment="1">
      <alignment horizontal="left" vertical="top"/>
    </xf>
    <xf numFmtId="0" fontId="17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167" fontId="17" fillId="0" borderId="0" xfId="0" applyNumberFormat="1" applyFont="1" applyBorder="1" applyAlignment="1">
      <alignment vertical="top" shrinkToFit="1"/>
    </xf>
    <xf numFmtId="44" fontId="17" fillId="0" borderId="0" xfId="2" applyFont="1" applyFill="1" applyBorder="1" applyAlignment="1">
      <alignment vertical="center" wrapText="1"/>
    </xf>
    <xf numFmtId="1" fontId="17" fillId="0" borderId="0" xfId="0" applyNumberFormat="1" applyFont="1" applyBorder="1" applyAlignment="1">
      <alignment horizontal="center" vertical="top" shrinkToFit="1"/>
    </xf>
    <xf numFmtId="1" fontId="17" fillId="0" borderId="0" xfId="0" applyNumberFormat="1" applyFont="1" applyBorder="1" applyAlignment="1">
      <alignment horizontal="center" vertical="center" shrinkToFit="1"/>
    </xf>
    <xf numFmtId="167" fontId="17" fillId="0" borderId="0" xfId="0" applyNumberFormat="1" applyFont="1" applyBorder="1" applyAlignment="1">
      <alignment vertical="center" shrinkToFit="1"/>
    </xf>
    <xf numFmtId="43" fontId="2" fillId="0" borderId="0" xfId="1" applyFont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top" wrapText="1"/>
    </xf>
    <xf numFmtId="168" fontId="28" fillId="0" borderId="0" xfId="0" applyNumberFormat="1" applyFont="1" applyAlignment="1">
      <alignment horizontal="center" vertical="center" shrinkToFit="1"/>
    </xf>
    <xf numFmtId="14" fontId="0" fillId="0" borderId="0" xfId="0" applyNumberFormat="1" applyAlignment="1">
      <alignment horizontal="center" vertical="top"/>
    </xf>
    <xf numFmtId="1" fontId="28" fillId="0" borderId="0" xfId="0" applyNumberFormat="1" applyFont="1" applyAlignment="1">
      <alignment horizontal="left" vertical="center" indent="2" shrinkToFit="1"/>
    </xf>
    <xf numFmtId="169" fontId="28" fillId="0" borderId="0" xfId="0" applyNumberFormat="1" applyFont="1" applyAlignment="1">
      <alignment horizontal="right" vertical="center" indent="2" shrinkToFit="1"/>
    </xf>
    <xf numFmtId="168" fontId="28" fillId="0" borderId="0" xfId="0" applyNumberFormat="1" applyFont="1" applyAlignment="1">
      <alignment horizontal="right" vertical="center" indent="1" shrinkToFit="1"/>
    </xf>
    <xf numFmtId="168" fontId="28" fillId="0" borderId="0" xfId="0" applyNumberFormat="1" applyFont="1" applyAlignment="1">
      <alignment horizontal="right" vertical="center" indent="2" shrinkToFit="1"/>
    </xf>
    <xf numFmtId="1" fontId="28" fillId="0" borderId="0" xfId="0" applyNumberFormat="1" applyFont="1" applyAlignment="1">
      <alignment horizontal="left" vertical="top" indent="2" shrinkToFit="1"/>
    </xf>
    <xf numFmtId="169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right" vertical="top" indent="1" shrinkToFit="1"/>
    </xf>
    <xf numFmtId="168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center" vertical="top" shrinkToFit="1"/>
    </xf>
    <xf numFmtId="170" fontId="28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168" fontId="30" fillId="0" borderId="0" xfId="0" applyNumberFormat="1" applyFont="1" applyAlignment="1">
      <alignment horizontal="right" vertical="top" indent="1" shrinkToFi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44" fontId="5" fillId="0" borderId="0" xfId="2" applyFont="1" applyBorder="1"/>
    <xf numFmtId="166" fontId="5" fillId="0" borderId="0" xfId="2" applyNumberFormat="1" applyFont="1" applyBorder="1"/>
    <xf numFmtId="44" fontId="0" fillId="0" borderId="1" xfId="0" applyNumberFormat="1" applyBorder="1"/>
    <xf numFmtId="166" fontId="0" fillId="0" borderId="0" xfId="2" applyNumberFormat="1" applyFont="1"/>
    <xf numFmtId="171" fontId="0" fillId="0" borderId="0" xfId="0" applyNumberFormat="1"/>
    <xf numFmtId="1" fontId="32" fillId="0" borderId="0" xfId="0" applyNumberFormat="1" applyFont="1" applyAlignment="1">
      <alignment horizontal="right" vertical="top" shrinkToFit="1"/>
    </xf>
    <xf numFmtId="1" fontId="32" fillId="0" borderId="0" xfId="0" applyNumberFormat="1" applyFont="1" applyAlignment="1">
      <alignment horizontal="right" vertical="top" shrinkToFit="1"/>
    </xf>
    <xf numFmtId="0" fontId="33" fillId="0" borderId="0" xfId="0" applyFont="1" applyAlignment="1">
      <alignment horizontal="center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 indent="1"/>
    </xf>
    <xf numFmtId="0" fontId="38" fillId="0" borderId="3" xfId="0" applyFont="1" applyBorder="1" applyAlignment="1">
      <alignment horizontal="left" vertical="top" wrapText="1" indent="1"/>
    </xf>
    <xf numFmtId="0" fontId="0" fillId="0" borderId="3" xfId="0" applyBorder="1" applyAlignment="1">
      <alignment horizontal="center" vertical="top" wrapText="1"/>
    </xf>
    <xf numFmtId="1" fontId="42" fillId="0" borderId="0" xfId="0" applyNumberFormat="1" applyFont="1" applyAlignment="1">
      <alignment horizontal="center" vertical="top" shrinkToFit="1"/>
    </xf>
    <xf numFmtId="172" fontId="42" fillId="0" borderId="0" xfId="0" applyNumberFormat="1" applyFont="1" applyAlignment="1">
      <alignment horizontal="left" vertical="top" indent="2" shrinkToFit="1"/>
    </xf>
    <xf numFmtId="168" fontId="42" fillId="0" borderId="0" xfId="0" applyNumberFormat="1" applyFont="1" applyAlignment="1">
      <alignment horizontal="left" vertical="top" indent="5" shrinkToFit="1"/>
    </xf>
    <xf numFmtId="44" fontId="42" fillId="0" borderId="0" xfId="2" applyFont="1" applyFill="1" applyBorder="1" applyAlignment="1">
      <alignment horizontal="right" vertical="top" indent="2" shrinkToFit="1"/>
    </xf>
    <xf numFmtId="44" fontId="42" fillId="0" borderId="0" xfId="2" applyFont="1" applyFill="1" applyBorder="1" applyAlignment="1">
      <alignment horizontal="left" vertical="top" indent="1" shrinkToFit="1"/>
    </xf>
    <xf numFmtId="44" fontId="0" fillId="0" borderId="0" xfId="2" applyFont="1" applyFill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38" fillId="0" borderId="0" xfId="0" applyFont="1" applyAlignment="1">
      <alignment horizontal="center" vertical="top" wrapText="1"/>
    </xf>
    <xf numFmtId="43" fontId="0" fillId="0" borderId="0" xfId="1" applyFont="1" applyAlignment="1">
      <alignment horizontal="left" vertical="top"/>
    </xf>
    <xf numFmtId="9" fontId="15" fillId="0" borderId="0" xfId="3" applyFont="1" applyAlignment="1">
      <alignment horizontal="left" vertical="top"/>
    </xf>
    <xf numFmtId="168" fontId="42" fillId="0" borderId="0" xfId="0" applyNumberFormat="1" applyFont="1" applyAlignment="1">
      <alignment horizontal="center" vertical="top" shrinkToFit="1"/>
    </xf>
    <xf numFmtId="173" fontId="0" fillId="0" borderId="0" xfId="0" applyNumberFormat="1" applyAlignment="1">
      <alignment horizontal="left" vertical="top"/>
    </xf>
    <xf numFmtId="170" fontId="4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0" fontId="38" fillId="0" borderId="0" xfId="0" applyFont="1" applyAlignment="1">
      <alignment horizontal="right" vertical="top" wrapText="1" indent="1"/>
    </xf>
    <xf numFmtId="44" fontId="0" fillId="0" borderId="0" xfId="0" applyNumberFormat="1" applyAlignment="1">
      <alignment horizontal="left" wrapText="1"/>
    </xf>
    <xf numFmtId="0" fontId="38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15" fillId="0" borderId="0" xfId="2" applyFont="1" applyFill="1" applyBorder="1" applyAlignment="1">
      <alignment horizontal="left" vertical="top"/>
    </xf>
    <xf numFmtId="14" fontId="31" fillId="0" borderId="0" xfId="0" applyNumberFormat="1" applyFont="1" applyAlignment="1">
      <alignment horizontal="center" vertical="top"/>
    </xf>
    <xf numFmtId="0" fontId="44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1" fontId="47" fillId="0" borderId="0" xfId="0" applyNumberFormat="1" applyFont="1" applyAlignment="1">
      <alignment horizontal="center" vertical="top" shrinkToFit="1"/>
    </xf>
    <xf numFmtId="172" fontId="47" fillId="0" borderId="0" xfId="0" applyNumberFormat="1" applyFont="1" applyAlignment="1">
      <alignment horizontal="left" vertical="top" indent="2" shrinkToFit="1"/>
    </xf>
    <xf numFmtId="44" fontId="47" fillId="0" borderId="0" xfId="2" applyFont="1" applyFill="1" applyBorder="1" applyAlignment="1">
      <alignment horizontal="right" vertical="top" indent="2" shrinkToFit="1"/>
    </xf>
    <xf numFmtId="44" fontId="47" fillId="0" borderId="0" xfId="2" applyFont="1" applyFill="1" applyBorder="1" applyAlignment="1">
      <alignment horizontal="left" vertical="top" indent="1" shrinkToFit="1"/>
    </xf>
    <xf numFmtId="44" fontId="47" fillId="0" borderId="0" xfId="2" applyFont="1" applyFill="1" applyBorder="1" applyAlignment="1">
      <alignment horizontal="left" vertical="top"/>
    </xf>
    <xf numFmtId="0" fontId="47" fillId="0" borderId="0" xfId="0" applyFont="1" applyAlignment="1">
      <alignment horizontal="left" vertical="top"/>
    </xf>
    <xf numFmtId="44" fontId="47" fillId="0" borderId="0" xfId="0" applyNumberFormat="1" applyFont="1" applyAlignment="1">
      <alignment horizontal="left" vertical="top"/>
    </xf>
    <xf numFmtId="14" fontId="47" fillId="0" borderId="0" xfId="0" applyNumberFormat="1" applyFont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168" fontId="47" fillId="0" borderId="0" xfId="0" applyNumberFormat="1" applyFont="1" applyAlignment="1">
      <alignment horizontal="center" vertical="top" shrinkToFit="1"/>
    </xf>
    <xf numFmtId="170" fontId="47" fillId="0" borderId="0" xfId="0" applyNumberFormat="1" applyFont="1" applyAlignment="1">
      <alignment horizontal="center" vertical="top" shrinkToFit="1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right" vertical="top" wrapText="1" indent="1"/>
    </xf>
    <xf numFmtId="44" fontId="47" fillId="0" borderId="0" xfId="0" applyNumberFormat="1" applyFont="1" applyAlignment="1">
      <alignment horizontal="left" wrapText="1"/>
    </xf>
    <xf numFmtId="0" fontId="48" fillId="0" borderId="0" xfId="0" applyFont="1" applyAlignment="1">
      <alignment horizontal="center" vertical="top" wrapText="1"/>
    </xf>
    <xf numFmtId="43" fontId="0" fillId="0" borderId="0" xfId="1" applyFont="1" applyFill="1" applyBorder="1" applyAlignment="1">
      <alignment horizontal="left" vertical="top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vertical="top" wrapText="1"/>
    </xf>
    <xf numFmtId="0" fontId="51" fillId="0" borderId="0" xfId="0" applyFont="1" applyAlignment="1">
      <alignment horizontal="center" vertical="top" wrapText="1"/>
    </xf>
    <xf numFmtId="14" fontId="51" fillId="0" borderId="0" xfId="0" applyNumberFormat="1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44" fontId="51" fillId="0" borderId="0" xfId="2" applyFont="1" applyFill="1" applyBorder="1" applyAlignment="1">
      <alignment horizontal="center" wrapText="1"/>
    </xf>
    <xf numFmtId="14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wrapText="1"/>
    </xf>
    <xf numFmtId="0" fontId="51" fillId="0" borderId="0" xfId="0" applyFont="1" applyAlignment="1">
      <alignment horizontal="center" wrapText="1"/>
    </xf>
    <xf numFmtId="172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right" vertical="top" shrinkToFit="1"/>
    </xf>
    <xf numFmtId="44" fontId="51" fillId="0" borderId="0" xfId="2" applyFont="1" applyFill="1" applyBorder="1" applyAlignment="1">
      <alignment horizontal="right" vertical="top" indent="1" shrinkToFit="1"/>
    </xf>
    <xf numFmtId="44" fontId="51" fillId="0" borderId="0" xfId="2" applyFont="1" applyFill="1" applyBorder="1" applyAlignment="1">
      <alignment horizontal="right" vertical="top" indent="3" shrinkToFit="1"/>
    </xf>
    <xf numFmtId="1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left" vertical="top" indent="5" shrinkToFit="1"/>
    </xf>
    <xf numFmtId="0" fontId="31" fillId="0" borderId="0" xfId="0" applyFont="1" applyAlignment="1">
      <alignment horizontal="left" vertical="top" wrapText="1"/>
    </xf>
    <xf numFmtId="44" fontId="51" fillId="0" borderId="0" xfId="2" applyFont="1" applyFill="1" applyBorder="1" applyAlignment="1">
      <alignment horizontal="left" vertical="top" wrapText="1"/>
    </xf>
    <xf numFmtId="44" fontId="31" fillId="0" borderId="0" xfId="0" applyNumberFormat="1" applyFont="1" applyAlignment="1">
      <alignment horizontal="left" vertical="top"/>
    </xf>
    <xf numFmtId="0" fontId="20" fillId="0" borderId="0" xfId="0" applyFont="1" applyAlignment="1">
      <alignment vertical="top" wrapText="1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Continuous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3" fontId="5" fillId="3" borderId="0" xfId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44" fontId="0" fillId="3" borderId="0" xfId="2" applyFont="1" applyFill="1"/>
    <xf numFmtId="0" fontId="4" fillId="0" borderId="0" xfId="0" applyFont="1" applyAlignment="1">
      <alignment horizontal="center"/>
    </xf>
    <xf numFmtId="165" fontId="5" fillId="0" borderId="0" xfId="0" applyNumberFormat="1" applyFont="1" applyAlignment="1"/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8" fontId="0" fillId="3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0" fillId="3" borderId="0" xfId="0" applyNumberFormat="1" applyFill="1"/>
    <xf numFmtId="44" fontId="17" fillId="3" borderId="0" xfId="2" applyFont="1" applyFill="1" applyAlignment="1">
      <alignment horizontal="center" vertical="top"/>
    </xf>
    <xf numFmtId="43" fontId="17" fillId="3" borderId="0" xfId="0" applyNumberFormat="1" applyFont="1" applyFill="1" applyAlignment="1">
      <alignment horizontal="center" vertical="top"/>
    </xf>
    <xf numFmtId="14" fontId="17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4" fontId="17" fillId="0" borderId="0" xfId="0" applyNumberFormat="1" applyFont="1" applyBorder="1" applyAlignment="1">
      <alignment horizontal="center" vertical="top" shrinkToFit="1"/>
    </xf>
    <xf numFmtId="14" fontId="17" fillId="0" borderId="0" xfId="0" applyNumberFormat="1" applyFont="1" applyBorder="1" applyAlignment="1">
      <alignment horizontal="center" vertical="top"/>
    </xf>
    <xf numFmtId="43" fontId="0" fillId="0" borderId="0" xfId="0" applyNumberFormat="1" applyFill="1"/>
    <xf numFmtId="175" fontId="0" fillId="0" borderId="0" xfId="2" applyNumberFormat="1" applyFont="1" applyFill="1"/>
    <xf numFmtId="44" fontId="0" fillId="0" borderId="0" xfId="2" applyNumberFormat="1" applyFont="1" applyFill="1"/>
    <xf numFmtId="168" fontId="42" fillId="0" borderId="0" xfId="0" applyNumberFormat="1" applyFont="1" applyAlignment="1">
      <alignment vertical="top" shrinkToFit="1"/>
    </xf>
    <xf numFmtId="168" fontId="47" fillId="0" borderId="0" xfId="0" applyNumberFormat="1" applyFont="1" applyAlignment="1">
      <alignment vertical="top" shrinkToFit="1"/>
    </xf>
    <xf numFmtId="0" fontId="38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 indent="1"/>
    </xf>
    <xf numFmtId="0" fontId="0" fillId="0" borderId="0" xfId="0" applyBorder="1" applyAlignment="1">
      <alignment horizontal="center" vertical="top" wrapText="1"/>
    </xf>
    <xf numFmtId="44" fontId="27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top"/>
    </xf>
    <xf numFmtId="0" fontId="44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left" vertical="top" wrapText="1" indent="1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44" fontId="4" fillId="0" borderId="0" xfId="2" applyFont="1" applyAlignment="1">
      <alignment horizontal="center"/>
    </xf>
    <xf numFmtId="44" fontId="0" fillId="3" borderId="0" xfId="2" applyFont="1" applyFill="1" applyAlignment="1">
      <alignment horizontal="center"/>
    </xf>
    <xf numFmtId="44" fontId="4" fillId="0" borderId="0" xfId="2" applyFont="1" applyBorder="1" applyAlignment="1">
      <alignment horizontal="center"/>
    </xf>
    <xf numFmtId="44" fontId="0" fillId="3" borderId="0" xfId="2" applyFont="1" applyFill="1" applyBorder="1"/>
    <xf numFmtId="44" fontId="0" fillId="0" borderId="0" xfId="2" applyFont="1" applyBorder="1" applyAlignment="1">
      <alignment horizontal="center"/>
    </xf>
    <xf numFmtId="44" fontId="0" fillId="3" borderId="0" xfId="2" applyFont="1" applyFill="1" applyBorder="1" applyAlignment="1">
      <alignment horizontal="center"/>
    </xf>
    <xf numFmtId="44" fontId="0" fillId="0" borderId="0" xfId="2" applyFont="1" applyBorder="1"/>
    <xf numFmtId="44" fontId="2" fillId="3" borderId="0" xfId="2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44" fontId="1" fillId="3" borderId="0" xfId="2" applyFont="1" applyFill="1" applyAlignment="1">
      <alignment horizontal="center"/>
    </xf>
    <xf numFmtId="44" fontId="1" fillId="0" borderId="0" xfId="2" applyFont="1" applyAlignment="1">
      <alignment horizontal="center"/>
    </xf>
    <xf numFmtId="44" fontId="0" fillId="0" borderId="0" xfId="2" applyFont="1" applyAlignment="1">
      <alignment horizontal="left" vertical="top"/>
    </xf>
    <xf numFmtId="44" fontId="0" fillId="0" borderId="0" xfId="2" applyFont="1" applyAlignment="1">
      <alignment horizontal="left" vertical="top" indent="2"/>
    </xf>
    <xf numFmtId="44" fontId="0" fillId="3" borderId="0" xfId="2" applyFont="1" applyFill="1" applyAlignment="1">
      <alignment horizontal="left" vertical="top"/>
    </xf>
    <xf numFmtId="0" fontId="2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884991</xdr:colOff>
      <xdr:row>3</xdr:row>
      <xdr:rowOff>77187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71E256C4-CD14-49D4-8852-2CD1671CD12D}"/>
            </a:ext>
          </a:extLst>
        </xdr:cNvPr>
        <xdr:cNvSpPr/>
      </xdr:nvSpPr>
      <xdr:spPr>
        <a:xfrm>
          <a:off x="77906" y="20679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7</xdr:col>
      <xdr:colOff>188595</xdr:colOff>
      <xdr:row>28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EEC17D8-C2E7-455D-9804-C93F842E6FA0}"/>
            </a:ext>
          </a:extLst>
        </xdr:cNvPr>
        <xdr:cNvSpPr/>
      </xdr:nvSpPr>
      <xdr:spPr>
        <a:xfrm>
          <a:off x="0" y="65722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512445</xdr:colOff>
      <xdr:row>16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818D64B-C051-4A75-9BD2-199472B868FD}"/>
            </a:ext>
          </a:extLst>
        </xdr:cNvPr>
        <xdr:cNvSpPr/>
      </xdr:nvSpPr>
      <xdr:spPr>
        <a:xfrm>
          <a:off x="0" y="4657725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7</xdr:col>
      <xdr:colOff>188595</xdr:colOff>
      <xdr:row>17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E9F852-CDB6-488A-9E64-693C724BCB23}"/>
            </a:ext>
          </a:extLst>
        </xdr:cNvPr>
        <xdr:cNvSpPr/>
      </xdr:nvSpPr>
      <xdr:spPr>
        <a:xfrm>
          <a:off x="0" y="41719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884991</xdr:colOff>
      <xdr:row>3</xdr:row>
      <xdr:rowOff>77187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4C9EEAD-444E-4D2C-9F1A-FD857C65C1F4}"/>
            </a:ext>
          </a:extLst>
        </xdr:cNvPr>
        <xdr:cNvSpPr/>
      </xdr:nvSpPr>
      <xdr:spPr>
        <a:xfrm>
          <a:off x="77906" y="18393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7</xdr:col>
      <xdr:colOff>188595</xdr:colOff>
      <xdr:row>11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F1A9AD5-7785-4D58-9195-2E0FC5FA8EFD}"/>
            </a:ext>
          </a:extLst>
        </xdr:cNvPr>
        <xdr:cNvSpPr/>
      </xdr:nvSpPr>
      <xdr:spPr>
        <a:xfrm>
          <a:off x="0" y="312420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5</xdr:col>
      <xdr:colOff>817245</xdr:colOff>
      <xdr:row>4</xdr:row>
      <xdr:rowOff>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83F545F7-9F7D-4E6A-A051-D45A5C5658E6}"/>
            </a:ext>
          </a:extLst>
        </xdr:cNvPr>
        <xdr:cNvSpPr/>
      </xdr:nvSpPr>
      <xdr:spPr>
        <a:xfrm>
          <a:off x="0" y="422147"/>
          <a:ext cx="50558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  <xdr:oneCellAnchor>
    <xdr:from>
      <xdr:col>0</xdr:col>
      <xdr:colOff>0</xdr:colOff>
      <xdr:row>5</xdr:row>
      <xdr:rowOff>0</xdr:rowOff>
    </xdr:from>
    <xdr:ext cx="490347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EE2316A-8AEB-440F-A00F-AD7BC4471E5C}"/>
            </a:ext>
          </a:extLst>
        </xdr:cNvPr>
        <xdr:cNvSpPr/>
      </xdr:nvSpPr>
      <xdr:spPr>
        <a:xfrm>
          <a:off x="0" y="641222"/>
          <a:ext cx="49034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8DDD-FE78-4A80-AD19-AB1DE63C5B4D}">
  <dimension ref="A1:G15"/>
  <sheetViews>
    <sheetView tabSelected="1" workbookViewId="0">
      <selection activeCell="A16" sqref="A16"/>
    </sheetView>
  </sheetViews>
  <sheetFormatPr defaultRowHeight="15" x14ac:dyDescent="0.25"/>
  <cols>
    <col min="1" max="1" width="6.28515625" style="241" customWidth="1"/>
    <col min="2" max="2" width="16" style="241" customWidth="1"/>
    <col min="3" max="3" width="15.7109375" style="241" customWidth="1"/>
    <col min="4" max="4" width="15.28515625" style="241" bestFit="1" customWidth="1"/>
    <col min="5" max="5" width="14.7109375" style="241" customWidth="1"/>
    <col min="6" max="6" width="9.140625" style="241"/>
    <col min="7" max="7" width="13.140625" style="241" customWidth="1"/>
    <col min="8" max="16384" width="9.140625" style="241"/>
  </cols>
  <sheetData>
    <row r="1" spans="1:7" x14ac:dyDescent="0.25">
      <c r="A1" s="240" t="s">
        <v>6</v>
      </c>
      <c r="B1" s="240"/>
      <c r="C1" s="240"/>
      <c r="D1" s="240"/>
      <c r="E1" s="240"/>
    </row>
    <row r="2" spans="1:7" x14ac:dyDescent="0.25">
      <c r="A2" s="240" t="s">
        <v>210</v>
      </c>
      <c r="B2" s="240"/>
      <c r="C2" s="240"/>
      <c r="D2" s="240"/>
      <c r="E2" s="240"/>
    </row>
    <row r="3" spans="1:7" x14ac:dyDescent="0.25">
      <c r="A3" s="240" t="s">
        <v>7</v>
      </c>
      <c r="B3" s="240"/>
      <c r="C3" s="240"/>
      <c r="D3" s="240"/>
      <c r="E3" s="240"/>
    </row>
    <row r="4" spans="1:7" x14ac:dyDescent="0.25">
      <c r="A4" s="242"/>
      <c r="B4" s="242"/>
      <c r="C4" s="242"/>
      <c r="D4" s="242"/>
      <c r="E4" s="242"/>
    </row>
    <row r="5" spans="1:7" x14ac:dyDescent="0.25">
      <c r="A5" s="243" t="s">
        <v>0</v>
      </c>
      <c r="B5" s="243"/>
      <c r="C5" s="243"/>
      <c r="D5" s="243"/>
      <c r="E5" s="243" t="s">
        <v>1</v>
      </c>
      <c r="G5" s="245" t="s">
        <v>211</v>
      </c>
    </row>
    <row r="6" spans="1:7" x14ac:dyDescent="0.25">
      <c r="A6" s="244" t="s">
        <v>2</v>
      </c>
      <c r="B6" s="244" t="s">
        <v>3</v>
      </c>
      <c r="C6" s="244" t="s">
        <v>4</v>
      </c>
      <c r="D6" s="244" t="s">
        <v>1</v>
      </c>
      <c r="E6" s="244" t="s">
        <v>5</v>
      </c>
      <c r="G6" s="244" t="s">
        <v>220</v>
      </c>
    </row>
    <row r="7" spans="1:7" x14ac:dyDescent="0.25">
      <c r="A7" s="245">
        <v>2014</v>
      </c>
      <c r="B7" s="276">
        <f>PNC172086000!I29+PNC172606000!G30+PNC179683000!I28+'WF263974551-34'!H19</f>
        <v>1984347.2</v>
      </c>
      <c r="C7" s="276">
        <f>PNC172086000!G29+PNC172606000!E30+PNC179683000!G28+'WF263974551-34'!F19</f>
        <v>233321.81000000003</v>
      </c>
      <c r="D7" s="276">
        <f t="shared" ref="D7:D10" si="0">B7+C7</f>
        <v>2217669.0099999998</v>
      </c>
      <c r="E7" s="277">
        <f t="shared" ref="E7:E10" si="1">D7/1000000</f>
        <v>2.2176690099999998</v>
      </c>
      <c r="G7" s="275">
        <f>PNC172086000!E29+PNC172606000!C30</f>
        <v>105049.97</v>
      </c>
    </row>
    <row r="8" spans="1:7" x14ac:dyDescent="0.25">
      <c r="A8" s="245">
        <v>2015</v>
      </c>
      <c r="B8" s="276">
        <f>PNC172086000!I30+PNC172606000!G31+PNC179683000!I29+PNC189649000!I29+'WF0263974551-26'!N19+'WF263974551-34'!H20+'WF263974551-42'!P18+'Xerox 010-0031798-001'!N11</f>
        <v>5446323.7599999998</v>
      </c>
      <c r="C8" s="276">
        <f>PNC172086000!G30+PNC172606000!E31+PNC179683000!G29+PNC189649000!G29+'WF0263974551-26'!L19+'WF263974551-34'!F20+'WF263974551-42'!N18+'Xerox 010-0031798-001'!L11</f>
        <v>539021.65999999992</v>
      </c>
      <c r="D8" s="276">
        <f t="shared" si="0"/>
        <v>5985345.4199999999</v>
      </c>
      <c r="E8" s="277">
        <f t="shared" si="1"/>
        <v>5.9853454199999998</v>
      </c>
      <c r="G8" s="275">
        <f>PNC172086000!E30+PNC172606000!C31+PNC179683000!E29+'WF0263974551-26'!J19+'WF263974551-34'!D20+'Xerox 010-0031798-001'!J11</f>
        <v>378135.17000000004</v>
      </c>
    </row>
    <row r="9" spans="1:7" x14ac:dyDescent="0.25">
      <c r="A9" s="245">
        <v>2016</v>
      </c>
      <c r="B9" s="276">
        <f>FMC8639200!N12+FMC8369201!N12+FMC8639202!N12+PNC172086000!I31+PNC172606000!G32+PNC179683000!I30+PNC189649000!I30+PNC193446000!G29+PNC194379000!I28+'WF0263974551-26'!N23+'WF263974551-34'!H21+'WF263974551-42'!P21+'Xerox 010-0031798-001'!N12</f>
        <v>6434625.6899999995</v>
      </c>
      <c r="C9" s="276">
        <f>FMC8639200!L12+FMC8369201!L12+FMC8639202!L12+PNC172086000!G31+PNC172606000!E32+PNC179683000!G30+PNC189649000!G30+PNC193446000!E29+PNC194379000!G28+'WF0263974551-26'!L23+'WF263974551-34'!F21+'WF263974551-42'!N21+'Xerox 010-0031798-001'!L12</f>
        <v>643012.25</v>
      </c>
      <c r="D9" s="276">
        <f t="shared" si="0"/>
        <v>7077637.9399999995</v>
      </c>
      <c r="E9" s="277">
        <f t="shared" si="1"/>
        <v>7.0776379399999998</v>
      </c>
      <c r="G9" s="275">
        <f>FMC8639200!J12+FMC8369201!J12+FMC8639202!J12+PNC172086000!E31+PNC172606000!C32+PNC179683000!E30+PNC189649000!E30+'WF0263974551-26'!J23+'WF263974551-34'!D21+'WF263974551-42'!L21+'Xerox 010-0031798-001'!J12</f>
        <v>938609.16</v>
      </c>
    </row>
    <row r="10" spans="1:7" x14ac:dyDescent="0.25">
      <c r="A10" s="245">
        <v>2017</v>
      </c>
      <c r="B10" s="276">
        <f>FMC8639200!N13+FMC8369201!N13+FMC8639202!N13+PNC172086000!I32+PNC172606000!G33+PNC179683000!I31+PNC189649000!I31+PNC193446000!G30+PNC194379000!I29+PNC201340000!I27+PNC202859000!G29+PNC202871000!I28+PNC202872000!G29+PNC204070000!I29+'WF0263974551-26'!N27+'WF263974551-34'!H22+'WF263974551-42'!P25+'Xerox010-0026313-002'!M14+'Xerox 010-0031798-001'!N13</f>
        <v>7618902.04</v>
      </c>
      <c r="C10" s="276">
        <f>FMC8639200!L13+FMC8369201!L13+FMC8639202!L13+PNC172086000!G32+PNC172606000!E33+PNC179683000!G31+PNC189649000!G31+PNC193446000!E30+PNC194379000!G29+PNC201340000!G27+PNC202859000!E29+PNC202871000!G28+PNC202872000!E29+PNC204070000!G29+'WF0263974551-26'!L27+'WF263974551-34'!F22+'WF263974551-42'!N25+'Xerox010-0026313-002'!K14+'Xerox 010-0031798-001'!L13</f>
        <v>726207.64999999991</v>
      </c>
      <c r="D10" s="276">
        <f t="shared" si="0"/>
        <v>8345109.6899999995</v>
      </c>
      <c r="E10" s="277">
        <f t="shared" si="1"/>
        <v>8.3451096899999992</v>
      </c>
      <c r="G10" s="275">
        <f>FMC8639200!J13+FMC8369201!J13+FMC8639202!J13+PNC172086000!E32+PNC172606000!C33+PNC179683000!E31+PNC189649000!E31+PNC193446000!C30+PNC194379000!E29+'WF0263974551-26'!J27+'WF263974551-34'!D22+'WF263974551-42'!L25+'Xerox010-0026313-002'!I14+'Xerox 010-0031798-001'!J13</f>
        <v>1251938.9999999998</v>
      </c>
    </row>
    <row r="11" spans="1:7" x14ac:dyDescent="0.25">
      <c r="A11" s="245">
        <v>2018</v>
      </c>
      <c r="B11" s="276">
        <f>FMC8639200!N14+FMC8369201!N14+FMC8639202!N14+FMC8639203!N12+'GC8244'!G7+PNC172086000!I33+PNC172606000!G34+PNC179683000!I32+PNC189649000!I32+PNC193446000!G31+PNC194379000!I30+PNC201340000!I28+PNC202859000!G30+PNC202871000!I29+PNC202872000!G30+PNC204070000!I30+'WF0263974551-26'!N31+'WF263974551-34'!H23+'WF263974551-42'!P29+'Xerox010-0026313-002'!M15+'Xerox 010-0031798-001'!N14</f>
        <v>12460870.830000002</v>
      </c>
      <c r="C11" s="276">
        <f>FMC8639200!L14+FMC8369201!L14+FMC8639202!L14+FMC8639203!L12+'GC8244'!I7+PNC172086000!G33+PNC172606000!E34+PNC179683000!G32+PNC189649000!G32+PNC193446000!E31+PNC194379000!G30+PNC201340000!G28+PNC202859000!E30+PNC202871000!G29+PNC202872000!E30+PNC204070000!G30+'WF0263974551-26'!L31+'WF263974551-34'!F23+'WF263974551-42'!N29+'Xerox010-0026313-002'!K15+'Xerox 010-0031798-001'!L14</f>
        <v>3600071.3100000005</v>
      </c>
      <c r="D11" s="276">
        <f t="shared" ref="D11:D15" si="2">B11+C11</f>
        <v>16060942.140000002</v>
      </c>
      <c r="E11" s="277">
        <f t="shared" ref="E11:E15" si="3">D11/1000000</f>
        <v>16.060942140000002</v>
      </c>
      <c r="G11" s="275">
        <f>FMC8639200!J14+FMC8369201!J14+FMC8639202!J14+FMC8639203!J12+PNC172086000!E33+PNC172606000!C34+PNC179683000!E32+PNC189649000!E32+PNC193446000!C31+PNC194379000!E30+PNC201340000!E28+PNC202859000!C30+PNC202871000!E29+PNC202872000!C30+PNC204070000!E30+'WF0263974551-26'!J31+'WF263974551-34'!D23+'WF263974551-42'!L29+'Xerox010-0026313-002'!I15+'Xerox 010-0031798-001'!J14</f>
        <v>1842645.88</v>
      </c>
    </row>
    <row r="12" spans="1:7" x14ac:dyDescent="0.25">
      <c r="A12" s="245">
        <v>2019</v>
      </c>
      <c r="B12" s="276">
        <f>FMC8639200!N15+FMC8369201!N15+FMC8639202!N15+FMC8639203!N13+'GC8244'!G8+'GC8740'!H4+PNC172606000!G35+PNC179683000!I33+PNC189649000!I33+PNC193446000!G32+PNC194379000!I31+PNC201340000!I29+PNC202859000!G31+PNC202871000!I30+PNC202872000!G31+PNC204070000!I31+'WF0263974551-26'!N35+'WF263974551-34'!H24+'WF263974551-42'!P33+'Xerox010-0026313-002'!M16+'Xerox010-0031798-002'!O15+'Xerox 010-0031798-001'!N15</f>
        <v>12357118.439999999</v>
      </c>
      <c r="C12" s="276">
        <f>FMC8639200!L15+FMC8369201!L15+FMC8639202!L15+FMC8639203!L13+'GC8244'!I8+'GC8740'!J4+PNC172606000!E35+PNC179683000!G33+PNC189649000!G33+PNC193446000!E32+PNC194379000!G31+PNC201340000!G29+PNC202859000!E31+PNC202871000!G30+PNC202872000!E31+PNC204070000!G31+'WF0263974551-26'!L35+'WF263974551-34'!F24+'WF263974551-42'!N33+'Xerox010-0026313-002'!K16+'Xerox010-0031798-002'!M15+'Xerox 010-0031798-001'!L15</f>
        <v>3898539.5000000005</v>
      </c>
      <c r="D12" s="276">
        <f t="shared" si="2"/>
        <v>16255657.939999999</v>
      </c>
      <c r="E12" s="277">
        <f t="shared" si="3"/>
        <v>16.255657939999999</v>
      </c>
      <c r="G12" s="275">
        <f>FMC8639200!J15+FMC8369201!J15+FMC8639202!J15+FMC8639203!J13+'GC8244'!C8+PNC172606000!C35+PNC179683000!E33+PNC189649000!E33+PNC193446000!C32+PNC194379000!E31+PNC201340000!E29+PNC202859000!C31+PNC202871000!E30+PNC202872000!C31+PNC204070000!E31+'WF0263974551-26'!J35+'WF263974551-34'!D24+'WF263974551-42'!L33+'Xerox010-0026313-002'!I16+'Xerox010-0031798-002'!K15+'Xerox 010-0031798-001'!J15</f>
        <v>2320112.7100000004</v>
      </c>
    </row>
    <row r="13" spans="1:7" x14ac:dyDescent="0.25">
      <c r="A13" s="245">
        <v>2020</v>
      </c>
      <c r="B13" s="276">
        <f>FMC8639202!N16+FMC8639203!N14+'GC8244'!G9+'GC8740'!H5+'GC8839'!H4+'GC9163'!H4+'GC9177'!H4+PNC172606000!G36+PNC189649000!I34+PNC193446000!G33+PNC194379000!I32+PNC201340000!I30+PNC202859000!G32+PNC202871000!I31+PNC202872000!G32+PNC204070000!I32+'WF0263974551-26'!N39+'WF263974551-34'!H25+'WF263974551-42'!P37+'Xerox010-0026313-002'!M17+'Xerox010-0031798-002'!O16+'Xerox 010-0031798-001'!N16</f>
        <v>13652023.690000001</v>
      </c>
      <c r="C13" s="276">
        <f>FMC8639202!L16+FMC8639203!L14+'GC8244'!I9+'GC8740'!J5+'GC8839'!I4+'GC9163'!J4+'GC9177'!J4+PNC172606000!E36+PNC189649000!G34+PNC193446000!E33+PNC194379000!G32+PNC201340000!G30+PNC202859000!E32+PNC202871000!G31+PNC202872000!E32+PNC204070000!G32+'WF0263974551-26'!L39+'WF263974551-34'!F25+'WF263974551-42'!N37+'Xerox010-0026313-002'!K17+'Xerox010-0031798-002'!M16+'Xerox 010-0031798-001'!L16</f>
        <v>3822214.5900000008</v>
      </c>
      <c r="D13" s="276">
        <f t="shared" si="2"/>
        <v>17474238.280000001</v>
      </c>
      <c r="E13" s="277">
        <f t="shared" si="3"/>
        <v>17.474238280000002</v>
      </c>
      <c r="G13" s="275">
        <f>FMC8639202!J16+FMC8639203!J14+'GC8244'!C9+'GC8740'!E5+PNC172606000!C36+PNC189649000!E34+PNC193446000!C33+PNC194379000!E32+PNC201340000!E30+PNC202859000!C32+PNC202871000!E31+PNC202872000!C32+PNC204070000!E32+'WF0263974551-26'!J39+'WF263974551-34'!D25+'WF263974551-42'!L37+'Xerox010-0026313-002'!I17+'Xerox010-0031798-002'!K16+'Xerox 010-0031798-001'!J16</f>
        <v>2353744.3500000006</v>
      </c>
    </row>
    <row r="14" spans="1:7" x14ac:dyDescent="0.25">
      <c r="A14" s="245">
        <v>2021</v>
      </c>
      <c r="B14" s="276">
        <f>FMC8639203!N15+'GC8244'!G10+'GC8740'!H6+'GC8839'!H5+'GC9163'!H5+'GC9177'!H5+PNC172606000!G38+PNC189649000!I35+PNC193446000!G35+PNC194379000!I33+PNC202859000!G34+PNC202871000!I32+PNC202872000!G34+'WF0263974551-26'!N43+'WF263974551-34'!H26+'WF263974551-42'!P41+'Xerox010-0031798-002'!O17</f>
        <v>10284789.619999997</v>
      </c>
      <c r="C14" s="276">
        <f>FMC8639203!L15+'GC8244'!I10+'GC8740'!J6+'GC8839'!I5+'GC9163'!J5+'GC9177'!J5+PNC172606000!E37+PNC189649000!G35+PNC193446000!E35+PNC194379000!G33+PNC202859000!E34+PNC202871000!G32+PNC202872000!E34+'WF0263974551-26'!L43+'WF263974551-34'!F26+'WF263974551-42'!N41+'Xerox010-0031798-002'!M17</f>
        <v>3240003.25</v>
      </c>
      <c r="D14" s="276">
        <f t="shared" si="2"/>
        <v>13524792.869999997</v>
      </c>
      <c r="E14" s="277">
        <f t="shared" si="3"/>
        <v>13.524792869999997</v>
      </c>
      <c r="G14" s="275">
        <f>FMC8639203!J15+'GC8244'!C10+'GC8740'!E6+'GC8839'!E5+'GC9163'!E5+'GC9177'!E5+PNC172606000!C37+PNC172606000!C38+PNC189649000!E35+PNC193446000!C34+PNC193446000!C35+PNC194379000!E33+PNC202859000!C33+PNC202859000!C34+PNC202871000!E32+PNC202872000!C33+PNC202872000!C34+'WF0263974551-26'!J43+'WF263974551-34'!D26+'WF263974551-42'!L41+'Xerox010-0031798-002'!K17</f>
        <v>3921096.9099999997</v>
      </c>
    </row>
    <row r="15" spans="1:7" x14ac:dyDescent="0.25">
      <c r="A15" s="245">
        <v>2022</v>
      </c>
      <c r="B15" s="276">
        <f>FMC8639203!N16+'GC8244'!G11+'GC8740'!H7+'GC8839'!H6+'GC9163'!H6+'GC9177'!H6+'GC9840'!H3+'GC9950'!G3+PNC172606000!G39+PNC189649000!I37+PNC193446000!G36+PNC202871000!I33+PNC202872000!G35+'WF263974551-42'!P45+'Xerox010-0031798-002'!O18</f>
        <v>17725475.469999995</v>
      </c>
      <c r="C15" s="276">
        <f>FMC8639203!L16+'GC8244'!I11+'GC8740'!J7+'GC8839'!I6+'GC9163'!J6+'GC9177'!J6+'GC9840'!J3+'GC9950'!H3+PNC172606000!E39+PNC189649000!G37+PNC193446000!E36+PNC202859000!E35+PNC202871000!G33+PNC202872000!E35+'WF263974551-42'!N45+'Xerox010-0031798-002'!M18</f>
        <v>5339726.41</v>
      </c>
      <c r="D15" s="276">
        <f t="shared" si="2"/>
        <v>23065201.879999995</v>
      </c>
      <c r="E15" s="277">
        <f t="shared" si="3"/>
        <v>23.065201879999996</v>
      </c>
      <c r="G15" s="275">
        <f>FMC8639203!J16+'GC8244'!C11+'GC8740'!E7+'GC8839'!E6+'GC9163'!E6+'GC9177'!E6+PNC172606000!C39+PNC189649000!E36+PNC189649000!D37+PNC193446000!C36+PNC202859000!C35+PNC202871000!E33+PNC202872000!C35+'Xerox010-0031798-002'!K18</f>
        <v>1256739.1199999999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AF3-E152-40D5-9691-F43BF9145599}">
  <dimension ref="A1:O20"/>
  <sheetViews>
    <sheetView workbookViewId="0">
      <selection activeCell="J6" sqref="J6"/>
    </sheetView>
  </sheetViews>
  <sheetFormatPr defaultRowHeight="15" x14ac:dyDescent="0.25"/>
  <cols>
    <col min="1" max="1" width="5.85546875" style="16" customWidth="1"/>
    <col min="2" max="2" width="4" style="16" customWidth="1"/>
    <col min="3" max="3" width="9" style="16" customWidth="1"/>
    <col min="4" max="4" width="5" style="16" customWidth="1"/>
    <col min="5" max="6" width="16" style="16" customWidth="1"/>
    <col min="7" max="7" width="13.85546875" style="16" customWidth="1"/>
    <col min="8" max="8" width="15.5703125" style="16" bestFit="1" customWidth="1"/>
    <col min="9" max="9" width="1.85546875" style="16" customWidth="1"/>
    <col min="10" max="10" width="15.5703125" style="16" bestFit="1" customWidth="1"/>
    <col min="11" max="11" width="2.7109375" style="16" customWidth="1"/>
    <col min="12" max="12" width="15.5703125" style="16" bestFit="1" customWidth="1"/>
    <col min="13" max="13" width="9.42578125" style="16" bestFit="1" customWidth="1"/>
    <col min="14" max="14" width="9.140625" style="16"/>
    <col min="15" max="15" width="20.28515625" style="16" bestFit="1" customWidth="1"/>
    <col min="16" max="16384" width="9.140625" style="16"/>
  </cols>
  <sheetData>
    <row r="1" spans="1:15" ht="15.75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8"/>
      <c r="K1" s="168"/>
      <c r="L1" s="168"/>
      <c r="M1" s="168"/>
    </row>
    <row r="2" spans="1:15" ht="140.25" customHeight="1" x14ac:dyDescent="0.25">
      <c r="A2" s="169" t="s">
        <v>194</v>
      </c>
      <c r="B2" s="137"/>
      <c r="C2" s="137"/>
      <c r="D2" s="137"/>
      <c r="E2" s="137"/>
      <c r="F2" s="137"/>
      <c r="G2" s="137"/>
      <c r="H2" s="137"/>
      <c r="I2" s="137"/>
      <c r="J2" s="143"/>
      <c r="K2" s="143"/>
      <c r="L2" s="143"/>
      <c r="M2" s="143"/>
    </row>
    <row r="3" spans="1:15" ht="38.25" x14ac:dyDescent="0.25">
      <c r="A3" s="170" t="s">
        <v>175</v>
      </c>
      <c r="B3" s="171" t="s">
        <v>176</v>
      </c>
      <c r="C3" s="171"/>
      <c r="D3" s="171"/>
      <c r="E3" s="172" t="s">
        <v>177</v>
      </c>
      <c r="F3" s="172" t="s">
        <v>178</v>
      </c>
      <c r="G3" s="170" t="s">
        <v>179</v>
      </c>
      <c r="H3" s="140" t="s">
        <v>97</v>
      </c>
      <c r="I3" s="161"/>
      <c r="J3" s="140" t="s">
        <v>118</v>
      </c>
      <c r="K3" s="161"/>
      <c r="L3" s="141" t="s">
        <v>169</v>
      </c>
      <c r="M3" s="141" t="s">
        <v>170</v>
      </c>
      <c r="O3" s="173" t="s">
        <v>180</v>
      </c>
    </row>
    <row r="4" spans="1:15" s="292" customFormat="1" ht="15.75" x14ac:dyDescent="0.25">
      <c r="A4" s="290"/>
      <c r="B4" s="175">
        <v>44044</v>
      </c>
      <c r="C4" s="175"/>
      <c r="D4" s="291"/>
      <c r="E4" s="291"/>
      <c r="F4" s="291"/>
      <c r="G4" s="290"/>
      <c r="H4" s="283">
        <f>G9</f>
        <v>301234.07999999996</v>
      </c>
      <c r="I4" s="284"/>
      <c r="J4" s="283">
        <f>F9</f>
        <v>13885.29</v>
      </c>
      <c r="K4" s="284"/>
      <c r="L4" s="286"/>
      <c r="M4" s="286"/>
      <c r="O4" s="293"/>
    </row>
    <row r="5" spans="1:15" x14ac:dyDescent="0.25">
      <c r="A5" s="174">
        <v>1</v>
      </c>
      <c r="B5" s="175">
        <v>44409</v>
      </c>
      <c r="C5" s="175"/>
      <c r="D5" s="278"/>
      <c r="E5" s="278">
        <v>105039.79</v>
      </c>
      <c r="F5" s="177">
        <v>6705.39</v>
      </c>
      <c r="G5" s="178">
        <v>98334.399999999994</v>
      </c>
      <c r="H5" s="179">
        <f>H4-G5</f>
        <v>202899.67999999996</v>
      </c>
      <c r="J5" s="180">
        <f>J4-F5</f>
        <v>7179.9000000000005</v>
      </c>
      <c r="L5" s="180">
        <f>J5+H5</f>
        <v>210079.57999999996</v>
      </c>
      <c r="M5" s="19">
        <v>44469</v>
      </c>
      <c r="O5" s="184"/>
    </row>
    <row r="6" spans="1:15" x14ac:dyDescent="0.25">
      <c r="A6" s="174">
        <v>2</v>
      </c>
      <c r="B6" s="175">
        <v>44774</v>
      </c>
      <c r="C6" s="175"/>
      <c r="D6" s="278"/>
      <c r="E6" s="278">
        <v>105039.79</v>
      </c>
      <c r="F6" s="177">
        <v>4768.1400000000003</v>
      </c>
      <c r="G6" s="178">
        <v>100271.65</v>
      </c>
      <c r="H6" s="180">
        <f>+H5-G6</f>
        <v>102628.02999999997</v>
      </c>
      <c r="J6" s="180">
        <f>J5-F6</f>
        <v>2411.7600000000002</v>
      </c>
      <c r="L6" s="180">
        <f t="shared" ref="L6:L8" si="0">J6+H6</f>
        <v>105039.78999999996</v>
      </c>
      <c r="M6" s="19">
        <v>44834</v>
      </c>
      <c r="O6" s="184">
        <v>103283.96</v>
      </c>
    </row>
    <row r="7" spans="1:15" x14ac:dyDescent="0.25">
      <c r="A7" s="174">
        <v>3</v>
      </c>
      <c r="B7" s="175">
        <v>45139</v>
      </c>
      <c r="C7" s="175"/>
      <c r="D7" s="278"/>
      <c r="E7" s="278">
        <v>105039.79</v>
      </c>
      <c r="F7" s="177">
        <v>2411.7600000000002</v>
      </c>
      <c r="G7" s="178">
        <v>102628.03</v>
      </c>
      <c r="H7" s="180">
        <f>+H6-G7</f>
        <v>0</v>
      </c>
      <c r="J7" s="180">
        <f>J6-F7</f>
        <v>0</v>
      </c>
      <c r="L7" s="180">
        <f t="shared" si="0"/>
        <v>0</v>
      </c>
      <c r="M7" s="19">
        <v>44834</v>
      </c>
      <c r="O7" s="186">
        <v>0</v>
      </c>
    </row>
    <row r="8" spans="1:15" x14ac:dyDescent="0.25">
      <c r="A8" s="187"/>
      <c r="B8" s="51"/>
      <c r="C8" s="51"/>
      <c r="D8" s="37"/>
      <c r="E8" s="37"/>
      <c r="F8" s="187"/>
      <c r="G8" s="187"/>
      <c r="J8" s="180"/>
      <c r="L8" s="180">
        <f t="shared" si="0"/>
        <v>0</v>
      </c>
      <c r="O8" s="187"/>
    </row>
    <row r="9" spans="1:15" x14ac:dyDescent="0.25">
      <c r="A9" s="187"/>
      <c r="B9" s="188" t="s">
        <v>130</v>
      </c>
      <c r="C9" s="188"/>
      <c r="E9" s="278">
        <f>SUM(E5:E8)</f>
        <v>315119.37</v>
      </c>
      <c r="F9" s="189">
        <f>SUM(F5:F8)</f>
        <v>13885.29</v>
      </c>
      <c r="G9" s="189">
        <f>SUM(G5:G8)</f>
        <v>301234.07999999996</v>
      </c>
      <c r="O9" s="187"/>
    </row>
    <row r="10" spans="1:15" x14ac:dyDescent="0.25">
      <c r="A10" s="187"/>
      <c r="B10" s="51"/>
      <c r="C10" s="51"/>
      <c r="D10" s="51"/>
      <c r="E10" s="51"/>
      <c r="F10" s="187"/>
      <c r="G10" s="187"/>
      <c r="H10" s="187"/>
    </row>
    <row r="11" spans="1:15" x14ac:dyDescent="0.25">
      <c r="A11" s="190" t="s">
        <v>195</v>
      </c>
      <c r="B11" s="190"/>
      <c r="C11" s="190"/>
      <c r="D11" s="190"/>
      <c r="E11" s="190"/>
      <c r="F11" s="190"/>
      <c r="G11" s="190"/>
      <c r="H11" s="190"/>
      <c r="I11" s="190"/>
      <c r="J11" s="181"/>
      <c r="K11" s="181"/>
      <c r="L11" s="181"/>
      <c r="M11" s="181"/>
    </row>
    <row r="20" spans="5:5" x14ac:dyDescent="0.25">
      <c r="E20" s="216"/>
    </row>
  </sheetData>
  <mergeCells count="12">
    <mergeCell ref="B10:C10"/>
    <mergeCell ref="D10:E10"/>
    <mergeCell ref="A11:I11"/>
    <mergeCell ref="B4:C4"/>
    <mergeCell ref="B7:C7"/>
    <mergeCell ref="B8:C8"/>
    <mergeCell ref="B9:C9"/>
    <mergeCell ref="A1:I1"/>
    <mergeCell ref="A2:I2"/>
    <mergeCell ref="B3:D3"/>
    <mergeCell ref="B5:C5"/>
    <mergeCell ref="B6:C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1ECB-3FE2-414E-9C7E-C383FE4B7F08}">
  <dimension ref="A1:M28"/>
  <sheetViews>
    <sheetView workbookViewId="0">
      <selection activeCell="N19" sqref="N19"/>
    </sheetView>
  </sheetViews>
  <sheetFormatPr defaultRowHeight="12.75" x14ac:dyDescent="0.25"/>
  <cols>
    <col min="1" max="1" width="1.85546875" style="161" customWidth="1"/>
    <col min="2" max="2" width="5.7109375" style="239" customWidth="1"/>
    <col min="3" max="3" width="13" style="239" bestFit="1" customWidth="1"/>
    <col min="4" max="4" width="14.42578125" style="161" bestFit="1" customWidth="1"/>
    <col min="5" max="5" width="15.7109375" style="161" bestFit="1" customWidth="1"/>
    <col min="6" max="6" width="18.28515625" style="161" bestFit="1" customWidth="1"/>
    <col min="7" max="7" width="17.85546875" style="161" customWidth="1"/>
    <col min="8" max="8" width="15.5703125" style="161" bestFit="1" customWidth="1"/>
    <col min="9" max="9" width="1.85546875" style="161" customWidth="1"/>
    <col min="10" max="10" width="15.5703125" style="161" bestFit="1" customWidth="1"/>
    <col min="11" max="11" width="2.7109375" style="161" customWidth="1"/>
    <col min="12" max="12" width="15.5703125" style="161" bestFit="1" customWidth="1"/>
    <col min="13" max="13" width="9.42578125" style="161" bestFit="1" customWidth="1"/>
    <col min="14" max="16384" width="9.140625" style="161"/>
  </cols>
  <sheetData>
    <row r="1" spans="1:13" ht="124.5" customHeight="1" x14ac:dyDescent="0.25">
      <c r="A1" s="217" t="s">
        <v>196</v>
      </c>
      <c r="B1" s="217"/>
      <c r="C1" s="217"/>
      <c r="D1" s="217"/>
      <c r="E1" s="217"/>
      <c r="F1" s="217"/>
      <c r="G1" s="217"/>
      <c r="H1" s="217"/>
    </row>
    <row r="2" spans="1:13" ht="31.5" x14ac:dyDescent="0.25">
      <c r="A2" s="218"/>
      <c r="B2" s="141" t="s">
        <v>197</v>
      </c>
      <c r="C2" s="141" t="s">
        <v>198</v>
      </c>
      <c r="D2" s="141" t="s">
        <v>199</v>
      </c>
      <c r="E2" s="141" t="s">
        <v>200</v>
      </c>
      <c r="F2" s="141" t="s">
        <v>201</v>
      </c>
      <c r="G2" s="141" t="s">
        <v>202</v>
      </c>
      <c r="H2" s="140" t="s">
        <v>97</v>
      </c>
      <c r="J2" s="140" t="s">
        <v>118</v>
      </c>
      <c r="L2" s="141" t="s">
        <v>169</v>
      </c>
      <c r="M2" s="141" t="s">
        <v>170</v>
      </c>
    </row>
    <row r="3" spans="1:13" ht="15.75" x14ac:dyDescent="0.25">
      <c r="A3" s="218"/>
      <c r="B3" s="219"/>
      <c r="C3" s="220">
        <v>44986</v>
      </c>
      <c r="D3" s="221"/>
      <c r="E3" s="221"/>
      <c r="F3" s="221"/>
      <c r="G3" s="221"/>
      <c r="H3" s="222">
        <v>7070000</v>
      </c>
      <c r="J3" s="222">
        <f>SUM(E4:E23)</f>
        <v>2224663</v>
      </c>
      <c r="L3" s="222">
        <f>H3+J3</f>
        <v>9294663</v>
      </c>
      <c r="M3" s="223">
        <v>44834</v>
      </c>
    </row>
    <row r="4" spans="1:13" ht="15.75" x14ac:dyDescent="0.25">
      <c r="A4" s="224"/>
      <c r="B4" s="225">
        <v>1</v>
      </c>
      <c r="C4" s="226">
        <v>44986</v>
      </c>
      <c r="D4" s="227">
        <v>464733.15</v>
      </c>
      <c r="E4" s="228">
        <v>195132</v>
      </c>
      <c r="F4" s="229">
        <v>269601.15000000002</v>
      </c>
      <c r="G4" s="227">
        <v>6800398.8499999996</v>
      </c>
      <c r="H4" s="222">
        <f>H3-F4</f>
        <v>6800398.8499999996</v>
      </c>
      <c r="J4" s="222">
        <f>J3-E4</f>
        <v>2029531</v>
      </c>
      <c r="L4" s="222">
        <f t="shared" ref="L4:L23" si="0">H4+J4</f>
        <v>8829929.8499999996</v>
      </c>
      <c r="M4" s="223">
        <v>45199</v>
      </c>
    </row>
    <row r="5" spans="1:13" ht="15.75" x14ac:dyDescent="0.25">
      <c r="A5" s="224"/>
      <c r="B5" s="230">
        <v>2</v>
      </c>
      <c r="C5" s="226">
        <v>45352</v>
      </c>
      <c r="D5" s="227">
        <v>464733.15</v>
      </c>
      <c r="E5" s="228">
        <v>187691.01</v>
      </c>
      <c r="F5" s="229">
        <v>277042.14</v>
      </c>
      <c r="G5" s="227">
        <v>6523356.71</v>
      </c>
      <c r="H5" s="222">
        <f>H4-F5</f>
        <v>6523356.71</v>
      </c>
      <c r="J5" s="222">
        <f t="shared" ref="J5:J23" si="1">J4-E5</f>
        <v>1841839.99</v>
      </c>
      <c r="L5" s="222">
        <f t="shared" si="0"/>
        <v>8365196.7000000002</v>
      </c>
    </row>
    <row r="6" spans="1:13" ht="15.75" x14ac:dyDescent="0.25">
      <c r="A6" s="224"/>
      <c r="B6" s="230">
        <v>3</v>
      </c>
      <c r="C6" s="226">
        <v>45717</v>
      </c>
      <c r="D6" s="227">
        <v>464733.15</v>
      </c>
      <c r="E6" s="228">
        <v>180044.65</v>
      </c>
      <c r="F6" s="229">
        <v>284688.5</v>
      </c>
      <c r="G6" s="227">
        <v>6238668.21</v>
      </c>
      <c r="H6" s="222">
        <f t="shared" ref="H6:H23" si="2">H5-F6</f>
        <v>6238668.21</v>
      </c>
      <c r="J6" s="222">
        <f t="shared" si="1"/>
        <v>1661795.34</v>
      </c>
      <c r="L6" s="222">
        <f t="shared" si="0"/>
        <v>7900463.5499999998</v>
      </c>
    </row>
    <row r="7" spans="1:13" ht="15.75" x14ac:dyDescent="0.25">
      <c r="A7" s="224"/>
      <c r="B7" s="230">
        <v>4</v>
      </c>
      <c r="C7" s="226">
        <v>46082</v>
      </c>
      <c r="D7" s="227">
        <v>464733.15</v>
      </c>
      <c r="E7" s="228">
        <v>172187.24</v>
      </c>
      <c r="F7" s="229">
        <v>292545.90999999997</v>
      </c>
      <c r="G7" s="227">
        <v>5946122.2999999998</v>
      </c>
      <c r="H7" s="222">
        <f t="shared" si="2"/>
        <v>5946122.2999999998</v>
      </c>
      <c r="J7" s="222">
        <f t="shared" si="1"/>
        <v>1489608.1</v>
      </c>
      <c r="L7" s="222">
        <f t="shared" si="0"/>
        <v>7435730.4000000004</v>
      </c>
    </row>
    <row r="8" spans="1:13" ht="15.75" x14ac:dyDescent="0.25">
      <c r="A8" s="224"/>
      <c r="B8" s="230">
        <v>5</v>
      </c>
      <c r="C8" s="226">
        <v>46447</v>
      </c>
      <c r="D8" s="227">
        <v>464733.15</v>
      </c>
      <c r="E8" s="228">
        <v>164112.98000000001</v>
      </c>
      <c r="F8" s="229">
        <v>300620.17</v>
      </c>
      <c r="G8" s="227">
        <v>5645502.1299999999</v>
      </c>
      <c r="H8" s="222">
        <f t="shared" si="2"/>
        <v>5645502.1299999999</v>
      </c>
      <c r="J8" s="222">
        <f t="shared" si="1"/>
        <v>1325495.1200000001</v>
      </c>
      <c r="L8" s="222">
        <f t="shared" si="0"/>
        <v>6970997.25</v>
      </c>
    </row>
    <row r="9" spans="1:13" ht="15.75" x14ac:dyDescent="0.25">
      <c r="A9" s="224"/>
      <c r="B9" s="230">
        <v>6</v>
      </c>
      <c r="C9" s="226">
        <v>46813</v>
      </c>
      <c r="D9" s="227">
        <v>464733.15</v>
      </c>
      <c r="E9" s="228">
        <v>155815.85999999999</v>
      </c>
      <c r="F9" s="229">
        <v>308917.28999999998</v>
      </c>
      <c r="G9" s="227">
        <v>5336584.84</v>
      </c>
      <c r="H9" s="222">
        <f t="shared" si="2"/>
        <v>5336584.84</v>
      </c>
      <c r="J9" s="222">
        <f t="shared" si="1"/>
        <v>1169679.2600000002</v>
      </c>
      <c r="L9" s="222">
        <f t="shared" si="0"/>
        <v>6506264.0999999996</v>
      </c>
    </row>
    <row r="10" spans="1:13" ht="15.75" x14ac:dyDescent="0.25">
      <c r="A10" s="224"/>
      <c r="B10" s="230">
        <v>7</v>
      </c>
      <c r="C10" s="226">
        <v>47178</v>
      </c>
      <c r="D10" s="227">
        <v>464733.15</v>
      </c>
      <c r="E10" s="228">
        <v>147289.74</v>
      </c>
      <c r="F10" s="229">
        <v>317443.40999999997</v>
      </c>
      <c r="G10" s="227">
        <v>5019141.43</v>
      </c>
      <c r="H10" s="222">
        <f t="shared" si="2"/>
        <v>5019141.43</v>
      </c>
      <c r="J10" s="222">
        <f t="shared" si="1"/>
        <v>1022389.5200000003</v>
      </c>
      <c r="L10" s="222">
        <f t="shared" si="0"/>
        <v>6041530.9500000002</v>
      </c>
    </row>
    <row r="11" spans="1:13" ht="15.75" x14ac:dyDescent="0.25">
      <c r="A11" s="224"/>
      <c r="B11" s="230">
        <v>8</v>
      </c>
      <c r="C11" s="226">
        <v>47543</v>
      </c>
      <c r="D11" s="227">
        <v>464733.15</v>
      </c>
      <c r="E11" s="228">
        <v>138528.29999999999</v>
      </c>
      <c r="F11" s="229">
        <v>326204.84999999998</v>
      </c>
      <c r="G11" s="227">
        <v>4692936.58</v>
      </c>
      <c r="H11" s="222">
        <f t="shared" si="2"/>
        <v>4692936.58</v>
      </c>
      <c r="J11" s="222">
        <f t="shared" si="1"/>
        <v>883861.2200000002</v>
      </c>
      <c r="L11" s="222">
        <f t="shared" si="0"/>
        <v>5576797.8000000007</v>
      </c>
    </row>
    <row r="12" spans="1:13" ht="15.75" x14ac:dyDescent="0.25">
      <c r="A12" s="224"/>
      <c r="B12" s="230">
        <v>9</v>
      </c>
      <c r="C12" s="226">
        <v>47908</v>
      </c>
      <c r="D12" s="227">
        <v>464733.15</v>
      </c>
      <c r="E12" s="228">
        <v>129525.05</v>
      </c>
      <c r="F12" s="229">
        <v>335208.09999999998</v>
      </c>
      <c r="G12" s="227">
        <v>4357728.4800000004</v>
      </c>
      <c r="H12" s="222">
        <f t="shared" si="2"/>
        <v>4357728.4800000004</v>
      </c>
      <c r="J12" s="222">
        <f t="shared" si="1"/>
        <v>754336.17000000016</v>
      </c>
      <c r="L12" s="222">
        <f t="shared" si="0"/>
        <v>5112064.6500000004</v>
      </c>
    </row>
    <row r="13" spans="1:13" ht="15.75" x14ac:dyDescent="0.25">
      <c r="A13" s="224"/>
      <c r="B13" s="230">
        <v>10</v>
      </c>
      <c r="C13" s="226">
        <v>48274</v>
      </c>
      <c r="D13" s="227">
        <v>464733.15</v>
      </c>
      <c r="E13" s="228">
        <v>120273.31</v>
      </c>
      <c r="F13" s="229">
        <v>344459.84</v>
      </c>
      <c r="G13" s="227">
        <v>4013268.64</v>
      </c>
      <c r="H13" s="222">
        <f t="shared" si="2"/>
        <v>4013268.6400000006</v>
      </c>
      <c r="J13" s="222">
        <f t="shared" si="1"/>
        <v>634062.8600000001</v>
      </c>
      <c r="L13" s="222">
        <f t="shared" si="0"/>
        <v>4647331.5000000009</v>
      </c>
    </row>
    <row r="14" spans="1:13" ht="15.75" x14ac:dyDescent="0.25">
      <c r="A14" s="224"/>
      <c r="B14" s="230">
        <v>11</v>
      </c>
      <c r="C14" s="226">
        <v>48639</v>
      </c>
      <c r="D14" s="227">
        <v>464733.15</v>
      </c>
      <c r="E14" s="228">
        <v>110766.21</v>
      </c>
      <c r="F14" s="229">
        <v>353966.94</v>
      </c>
      <c r="G14" s="227">
        <v>3659301.7</v>
      </c>
      <c r="H14" s="222">
        <f t="shared" si="2"/>
        <v>3659301.7000000007</v>
      </c>
      <c r="J14" s="222">
        <f t="shared" si="1"/>
        <v>523296.65000000008</v>
      </c>
      <c r="L14" s="222">
        <f t="shared" si="0"/>
        <v>4182598.3500000006</v>
      </c>
    </row>
    <row r="15" spans="1:13" ht="15.75" x14ac:dyDescent="0.25">
      <c r="A15" s="224"/>
      <c r="B15" s="230">
        <v>12</v>
      </c>
      <c r="C15" s="226">
        <v>49004</v>
      </c>
      <c r="D15" s="227">
        <v>464733.15</v>
      </c>
      <c r="E15" s="228">
        <v>100996.73</v>
      </c>
      <c r="F15" s="229">
        <v>363736.42</v>
      </c>
      <c r="G15" s="227">
        <v>3295565.28</v>
      </c>
      <c r="H15" s="222">
        <f t="shared" si="2"/>
        <v>3295565.2800000007</v>
      </c>
      <c r="J15" s="222">
        <f t="shared" si="1"/>
        <v>422299.9200000001</v>
      </c>
      <c r="L15" s="222">
        <f t="shared" si="0"/>
        <v>3717865.2000000007</v>
      </c>
    </row>
    <row r="16" spans="1:13" ht="15.75" x14ac:dyDescent="0.25">
      <c r="A16" s="224"/>
      <c r="B16" s="230">
        <v>13</v>
      </c>
      <c r="C16" s="226">
        <v>49369</v>
      </c>
      <c r="D16" s="227">
        <v>464733.15</v>
      </c>
      <c r="E16" s="228">
        <v>90957.6</v>
      </c>
      <c r="F16" s="229">
        <v>373775.55</v>
      </c>
      <c r="G16" s="227">
        <v>2921789.73</v>
      </c>
      <c r="H16" s="222">
        <f t="shared" si="2"/>
        <v>2921789.7300000009</v>
      </c>
      <c r="J16" s="222">
        <f t="shared" si="1"/>
        <v>331342.32000000007</v>
      </c>
      <c r="L16" s="222">
        <f t="shared" si="0"/>
        <v>3253132.0500000007</v>
      </c>
    </row>
    <row r="17" spans="1:12" ht="15.75" x14ac:dyDescent="0.25">
      <c r="A17" s="224"/>
      <c r="B17" s="230">
        <v>14</v>
      </c>
      <c r="C17" s="226">
        <v>49735</v>
      </c>
      <c r="D17" s="227">
        <v>464733.15</v>
      </c>
      <c r="E17" s="228">
        <v>80641.399999999994</v>
      </c>
      <c r="F17" s="229">
        <v>384091.75</v>
      </c>
      <c r="G17" s="227">
        <v>2537697.98</v>
      </c>
      <c r="H17" s="222">
        <f t="shared" si="2"/>
        <v>2537697.9800000009</v>
      </c>
      <c r="J17" s="222">
        <f t="shared" si="1"/>
        <v>250700.92000000007</v>
      </c>
      <c r="L17" s="222">
        <f t="shared" si="0"/>
        <v>2788398.9000000008</v>
      </c>
    </row>
    <row r="18" spans="1:12" ht="15.75" x14ac:dyDescent="0.25">
      <c r="A18" s="224"/>
      <c r="B18" s="230">
        <v>15</v>
      </c>
      <c r="C18" s="226">
        <v>50100</v>
      </c>
      <c r="D18" s="227">
        <v>464733.15</v>
      </c>
      <c r="E18" s="228">
        <v>70040.460000000006</v>
      </c>
      <c r="F18" s="229">
        <v>394692.69</v>
      </c>
      <c r="G18" s="227">
        <v>2143005.29</v>
      </c>
      <c r="H18" s="222">
        <f t="shared" si="2"/>
        <v>2143005.290000001</v>
      </c>
      <c r="J18" s="222">
        <f t="shared" si="1"/>
        <v>180660.46000000008</v>
      </c>
      <c r="L18" s="222">
        <f t="shared" si="0"/>
        <v>2323665.7500000009</v>
      </c>
    </row>
    <row r="19" spans="1:12" ht="15.75" x14ac:dyDescent="0.25">
      <c r="A19" s="224"/>
      <c r="B19" s="230">
        <v>16</v>
      </c>
      <c r="C19" s="226">
        <v>50465</v>
      </c>
      <c r="D19" s="227">
        <v>464733.15</v>
      </c>
      <c r="E19" s="228">
        <v>59146.95</v>
      </c>
      <c r="F19" s="229">
        <v>405586.2</v>
      </c>
      <c r="G19" s="227">
        <v>1737419.09</v>
      </c>
      <c r="H19" s="222">
        <f t="shared" si="2"/>
        <v>1737419.090000001</v>
      </c>
      <c r="J19" s="222">
        <f t="shared" si="1"/>
        <v>121513.51000000008</v>
      </c>
      <c r="L19" s="222">
        <f t="shared" si="0"/>
        <v>1858932.600000001</v>
      </c>
    </row>
    <row r="20" spans="1:12" ht="15.75" x14ac:dyDescent="0.25">
      <c r="A20" s="224"/>
      <c r="B20" s="230">
        <v>17</v>
      </c>
      <c r="C20" s="226">
        <v>50830</v>
      </c>
      <c r="D20" s="227">
        <v>464733.15</v>
      </c>
      <c r="E20" s="228">
        <v>47952.77</v>
      </c>
      <c r="F20" s="229">
        <v>416780.38</v>
      </c>
      <c r="G20" s="227">
        <v>1320638.71</v>
      </c>
      <c r="H20" s="222">
        <f t="shared" si="2"/>
        <v>1320638.7100000009</v>
      </c>
      <c r="J20" s="222">
        <f t="shared" si="1"/>
        <v>73560.740000000078</v>
      </c>
      <c r="L20" s="222">
        <f t="shared" si="0"/>
        <v>1394199.4500000009</v>
      </c>
    </row>
    <row r="21" spans="1:12" ht="15.75" x14ac:dyDescent="0.25">
      <c r="A21" s="224"/>
      <c r="B21" s="230">
        <v>18</v>
      </c>
      <c r="C21" s="226">
        <v>51196</v>
      </c>
      <c r="D21" s="227">
        <v>464733.15</v>
      </c>
      <c r="E21" s="228">
        <v>36449.629999999997</v>
      </c>
      <c r="F21" s="229">
        <v>428283.52</v>
      </c>
      <c r="G21" s="227">
        <v>892355.19</v>
      </c>
      <c r="H21" s="222">
        <f t="shared" si="2"/>
        <v>892355.19000000088</v>
      </c>
      <c r="J21" s="222">
        <f t="shared" si="1"/>
        <v>37111.110000000081</v>
      </c>
      <c r="L21" s="222">
        <f t="shared" si="0"/>
        <v>929466.30000000098</v>
      </c>
    </row>
    <row r="22" spans="1:12" ht="15.75" x14ac:dyDescent="0.25">
      <c r="A22" s="224"/>
      <c r="B22" s="230">
        <v>19</v>
      </c>
      <c r="C22" s="226">
        <v>51561</v>
      </c>
      <c r="D22" s="227">
        <v>464733.15</v>
      </c>
      <c r="E22" s="228">
        <v>24629</v>
      </c>
      <c r="F22" s="229">
        <v>440104.15</v>
      </c>
      <c r="G22" s="227">
        <v>452251.04</v>
      </c>
      <c r="H22" s="222">
        <f t="shared" si="2"/>
        <v>452251.04000000085</v>
      </c>
      <c r="J22" s="222">
        <f t="shared" si="1"/>
        <v>12482.110000000081</v>
      </c>
      <c r="L22" s="222">
        <f t="shared" si="0"/>
        <v>464733.15000000095</v>
      </c>
    </row>
    <row r="23" spans="1:12" ht="15.75" x14ac:dyDescent="0.25">
      <c r="A23" s="224"/>
      <c r="B23" s="230">
        <v>20</v>
      </c>
      <c r="C23" s="226">
        <v>51926</v>
      </c>
      <c r="D23" s="227">
        <v>464733.15</v>
      </c>
      <c r="E23" s="228">
        <v>12482.11</v>
      </c>
      <c r="F23" s="229">
        <v>452251.04</v>
      </c>
      <c r="G23" s="231">
        <v>1</v>
      </c>
      <c r="H23" s="222">
        <f t="shared" si="2"/>
        <v>8.7311491370201111E-10</v>
      </c>
      <c r="J23" s="222">
        <f t="shared" si="1"/>
        <v>8.0035533756017685E-11</v>
      </c>
      <c r="L23" s="222">
        <f t="shared" si="0"/>
        <v>9.5315044745802879E-10</v>
      </c>
    </row>
    <row r="24" spans="1:12" ht="15.75" x14ac:dyDescent="0.25">
      <c r="A24" s="232"/>
      <c r="B24" s="219"/>
      <c r="C24" s="219" t="s">
        <v>130</v>
      </c>
      <c r="D24" s="227">
        <f>SUM(D4:D23)</f>
        <v>9294663.0000000037</v>
      </c>
      <c r="E24" s="227">
        <v>2224663</v>
      </c>
      <c r="F24" s="227">
        <v>7070000</v>
      </c>
      <c r="G24" s="233"/>
      <c r="H24" s="233"/>
      <c r="J24" s="234"/>
    </row>
    <row r="25" spans="1:12" ht="15.75" x14ac:dyDescent="0.25">
      <c r="B25" s="219"/>
      <c r="C25" s="219"/>
      <c r="E25" s="221"/>
      <c r="F25" s="221"/>
      <c r="G25" s="221"/>
      <c r="H25" s="221"/>
    </row>
    <row r="26" spans="1:12" ht="15.75" x14ac:dyDescent="0.25">
      <c r="A26" s="235"/>
      <c r="B26" s="219"/>
      <c r="C26" s="219"/>
      <c r="D26" s="221"/>
      <c r="E26" s="221"/>
      <c r="F26" s="221"/>
      <c r="G26" s="221"/>
      <c r="H26" s="221"/>
    </row>
    <row r="27" spans="1:12" ht="15.75" x14ac:dyDescent="0.25">
      <c r="B27" s="236"/>
      <c r="C27" s="236"/>
      <c r="D27" s="237" t="s">
        <v>203</v>
      </c>
      <c r="E27" s="238"/>
      <c r="F27" s="238"/>
      <c r="G27" s="238"/>
      <c r="H27" s="238"/>
    </row>
    <row r="28" spans="1:12" ht="15.75" x14ac:dyDescent="0.25">
      <c r="B28" s="236"/>
      <c r="C28" s="236"/>
      <c r="D28" s="238"/>
      <c r="E28" s="238"/>
      <c r="F28" s="238"/>
      <c r="G28" s="238"/>
      <c r="H28" s="238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999A-A574-4A72-9AA4-528864429049}">
  <dimension ref="A1:L17"/>
  <sheetViews>
    <sheetView workbookViewId="0">
      <selection activeCell="G13" sqref="G13"/>
    </sheetView>
  </sheetViews>
  <sheetFormatPr defaultRowHeight="15" x14ac:dyDescent="0.25"/>
  <cols>
    <col min="1" max="1" width="5.85546875" style="16" customWidth="1"/>
    <col min="2" max="2" width="17.85546875" style="16" customWidth="1"/>
    <col min="3" max="3" width="17" style="16" customWidth="1"/>
    <col min="4" max="4" width="14.85546875" style="16" customWidth="1"/>
    <col min="5" max="5" width="17" style="16" customWidth="1"/>
    <col min="6" max="6" width="3.7109375" style="16" customWidth="1"/>
    <col min="7" max="7" width="14.7109375" style="16" customWidth="1"/>
    <col min="8" max="8" width="11.140625" style="16" customWidth="1"/>
    <col min="9" max="9" width="14.85546875" style="16" customWidth="1"/>
    <col min="10" max="10" width="11.28515625" style="18" customWidth="1"/>
    <col min="11" max="11" width="9.140625" style="16"/>
    <col min="12" max="12" width="23.140625" style="16" customWidth="1"/>
    <col min="13" max="16384" width="9.140625" style="16"/>
  </cols>
  <sheetData>
    <row r="1" spans="1:12" ht="102.75" customHeight="1" x14ac:dyDescent="0.25">
      <c r="A1" s="137" t="s">
        <v>163</v>
      </c>
      <c r="B1" s="137"/>
      <c r="C1" s="137"/>
      <c r="D1" s="137"/>
      <c r="E1" s="137"/>
      <c r="F1" s="137"/>
      <c r="G1" s="137"/>
    </row>
    <row r="2" spans="1:12" s="139" customFormat="1" ht="31.5" x14ac:dyDescent="0.25">
      <c r="A2" s="138" t="s">
        <v>164</v>
      </c>
      <c r="B2" s="138" t="s">
        <v>165</v>
      </c>
      <c r="C2" s="138" t="s">
        <v>166</v>
      </c>
      <c r="D2" s="138" t="s">
        <v>167</v>
      </c>
      <c r="E2" s="138" t="s">
        <v>168</v>
      </c>
      <c r="G2" s="140" t="s">
        <v>97</v>
      </c>
      <c r="H2" s="140" t="s">
        <v>118</v>
      </c>
      <c r="I2" s="141" t="s">
        <v>169</v>
      </c>
      <c r="J2" s="141" t="s">
        <v>170</v>
      </c>
      <c r="L2" s="138" t="s">
        <v>171</v>
      </c>
    </row>
    <row r="3" spans="1:12" x14ac:dyDescent="0.25">
      <c r="A3" s="142"/>
      <c r="B3" s="143"/>
      <c r="C3" s="143"/>
      <c r="D3" s="143"/>
      <c r="E3" s="143"/>
      <c r="G3" s="144">
        <v>1473851.33</v>
      </c>
      <c r="H3" s="144">
        <f>SUM(D4:D13)</f>
        <v>253952.06999999998</v>
      </c>
      <c r="I3" s="144">
        <f>H3+G3</f>
        <v>1727803.4000000001</v>
      </c>
      <c r="J3" s="145">
        <v>44834</v>
      </c>
    </row>
    <row r="4" spans="1:12" x14ac:dyDescent="0.25">
      <c r="A4" s="146">
        <v>1</v>
      </c>
      <c r="B4" s="147">
        <v>45072</v>
      </c>
      <c r="C4" s="148">
        <v>172780.34</v>
      </c>
      <c r="D4" s="148">
        <v>44215.54</v>
      </c>
      <c r="E4" s="149">
        <v>128564.8</v>
      </c>
      <c r="G4" s="144">
        <f>G3-E4</f>
        <v>1345286.53</v>
      </c>
      <c r="H4" s="144">
        <f>H3-D4</f>
        <v>209736.52999999997</v>
      </c>
      <c r="I4" s="144">
        <f t="shared" ref="I4:I13" si="0">H4+G4</f>
        <v>1555023.06</v>
      </c>
      <c r="J4" s="145">
        <v>45199</v>
      </c>
      <c r="L4" s="144">
        <v>1352012.96</v>
      </c>
    </row>
    <row r="5" spans="1:12" x14ac:dyDescent="0.25">
      <c r="A5" s="150">
        <v>2</v>
      </c>
      <c r="B5" s="151">
        <v>45438</v>
      </c>
      <c r="C5" s="152">
        <v>172780.34</v>
      </c>
      <c r="D5" s="152">
        <v>40358.6</v>
      </c>
      <c r="E5" s="153">
        <v>132421.74</v>
      </c>
      <c r="G5" s="144">
        <f t="shared" ref="G5:G13" si="1">G4-E5</f>
        <v>1212864.79</v>
      </c>
      <c r="H5" s="144">
        <f t="shared" ref="H5:H13" si="2">H4-D5</f>
        <v>169377.92999999996</v>
      </c>
      <c r="I5" s="144">
        <f t="shared" si="0"/>
        <v>1382242.72</v>
      </c>
      <c r="J5" s="145">
        <v>45565</v>
      </c>
      <c r="L5" s="154">
        <v>1218929.1100000001</v>
      </c>
    </row>
    <row r="6" spans="1:12" x14ac:dyDescent="0.25">
      <c r="A6" s="150">
        <v>3</v>
      </c>
      <c r="B6" s="151">
        <v>45803</v>
      </c>
      <c r="C6" s="152">
        <v>172780.34</v>
      </c>
      <c r="D6" s="152">
        <v>36385.94</v>
      </c>
      <c r="E6" s="153">
        <v>136394.4</v>
      </c>
      <c r="G6" s="144">
        <f t="shared" si="1"/>
        <v>1076470.3900000001</v>
      </c>
      <c r="H6" s="144">
        <f t="shared" si="2"/>
        <v>132991.98999999996</v>
      </c>
      <c r="I6" s="144">
        <f t="shared" si="0"/>
        <v>1209462.3800000001</v>
      </c>
      <c r="L6" s="154">
        <v>1081852.74</v>
      </c>
    </row>
    <row r="7" spans="1:12" x14ac:dyDescent="0.25">
      <c r="A7" s="150">
        <v>4</v>
      </c>
      <c r="B7" s="151">
        <v>46168</v>
      </c>
      <c r="C7" s="152">
        <v>172780.34</v>
      </c>
      <c r="D7" s="152">
        <v>32294.11</v>
      </c>
      <c r="E7" s="153">
        <v>140486.23000000001</v>
      </c>
      <c r="G7" s="144">
        <f t="shared" si="1"/>
        <v>935984.16000000015</v>
      </c>
      <c r="H7" s="144">
        <f t="shared" si="2"/>
        <v>100697.87999999996</v>
      </c>
      <c r="I7" s="144">
        <f t="shared" si="0"/>
        <v>1036682.0400000002</v>
      </c>
      <c r="L7" s="154">
        <v>940664.08</v>
      </c>
    </row>
    <row r="8" spans="1:12" x14ac:dyDescent="0.25">
      <c r="A8" s="150">
        <v>5</v>
      </c>
      <c r="B8" s="151">
        <v>46533</v>
      </c>
      <c r="C8" s="152">
        <v>172780.34</v>
      </c>
      <c r="D8" s="152">
        <v>28079.52</v>
      </c>
      <c r="E8" s="153">
        <v>144700.82</v>
      </c>
      <c r="G8" s="144">
        <f t="shared" si="1"/>
        <v>791283.34000000008</v>
      </c>
      <c r="H8" s="144">
        <f t="shared" si="2"/>
        <v>72618.359999999957</v>
      </c>
      <c r="I8" s="144">
        <f t="shared" si="0"/>
        <v>863901.70000000007</v>
      </c>
      <c r="L8" s="154">
        <v>795239.76</v>
      </c>
    </row>
    <row r="9" spans="1:12" x14ac:dyDescent="0.25">
      <c r="A9" s="150">
        <v>6</v>
      </c>
      <c r="B9" s="151">
        <v>46899</v>
      </c>
      <c r="C9" s="152">
        <v>172780.34</v>
      </c>
      <c r="D9" s="152">
        <v>23738.5</v>
      </c>
      <c r="E9" s="153">
        <v>149041.84</v>
      </c>
      <c r="G9" s="144">
        <f t="shared" si="1"/>
        <v>642241.50000000012</v>
      </c>
      <c r="H9" s="144">
        <f t="shared" si="2"/>
        <v>48879.859999999957</v>
      </c>
      <c r="I9" s="144">
        <f t="shared" si="0"/>
        <v>691121.3600000001</v>
      </c>
      <c r="L9" s="154">
        <v>642241.5</v>
      </c>
    </row>
    <row r="10" spans="1:12" x14ac:dyDescent="0.25">
      <c r="A10" s="150">
        <v>7</v>
      </c>
      <c r="B10" s="151">
        <v>47264</v>
      </c>
      <c r="C10" s="152">
        <v>172780.34</v>
      </c>
      <c r="D10" s="152">
        <v>19267.25</v>
      </c>
      <c r="E10" s="153">
        <v>153513.09</v>
      </c>
      <c r="G10" s="144">
        <f t="shared" si="1"/>
        <v>488728.41000000015</v>
      </c>
      <c r="H10" s="144">
        <f t="shared" si="2"/>
        <v>29612.609999999957</v>
      </c>
      <c r="I10" s="144">
        <f t="shared" si="0"/>
        <v>518341.02000000014</v>
      </c>
      <c r="L10" s="154">
        <v>488728.41</v>
      </c>
    </row>
    <row r="11" spans="1:12" x14ac:dyDescent="0.25">
      <c r="A11" s="150">
        <v>8</v>
      </c>
      <c r="B11" s="151">
        <v>47629</v>
      </c>
      <c r="C11" s="152">
        <v>172780.34</v>
      </c>
      <c r="D11" s="152">
        <v>14661.85</v>
      </c>
      <c r="E11" s="153">
        <v>158118.49</v>
      </c>
      <c r="G11" s="144">
        <f t="shared" si="1"/>
        <v>330609.92000000016</v>
      </c>
      <c r="H11" s="144">
        <f t="shared" si="2"/>
        <v>14950.759999999957</v>
      </c>
      <c r="I11" s="144">
        <f t="shared" si="0"/>
        <v>345560.68000000011</v>
      </c>
      <c r="L11" s="154">
        <v>330609.91999999998</v>
      </c>
    </row>
    <row r="12" spans="1:12" x14ac:dyDescent="0.25">
      <c r="A12" s="150">
        <v>9</v>
      </c>
      <c r="B12" s="151">
        <v>47994</v>
      </c>
      <c r="C12" s="152">
        <v>172780.34</v>
      </c>
      <c r="D12" s="152">
        <v>9918.2999999999993</v>
      </c>
      <c r="E12" s="153">
        <v>162862.04</v>
      </c>
      <c r="G12" s="144">
        <f t="shared" si="1"/>
        <v>167747.88000000015</v>
      </c>
      <c r="H12" s="144">
        <f t="shared" si="2"/>
        <v>5032.4599999999573</v>
      </c>
      <c r="I12" s="144">
        <f t="shared" si="0"/>
        <v>172780.34000000011</v>
      </c>
      <c r="L12" s="154">
        <v>167747.88</v>
      </c>
    </row>
    <row r="13" spans="1:12" x14ac:dyDescent="0.25">
      <c r="A13" s="150">
        <v>10</v>
      </c>
      <c r="B13" s="151">
        <v>48360</v>
      </c>
      <c r="C13" s="152">
        <v>172780.34</v>
      </c>
      <c r="D13" s="152">
        <v>5032.46</v>
      </c>
      <c r="E13" s="153">
        <v>167747.88</v>
      </c>
      <c r="G13" s="144">
        <f t="shared" si="1"/>
        <v>0</v>
      </c>
      <c r="H13" s="144">
        <f t="shared" si="2"/>
        <v>-4.2746250983327627E-11</v>
      </c>
      <c r="I13" s="144">
        <f t="shared" si="0"/>
        <v>-4.2746250983327627E-11</v>
      </c>
      <c r="L13" s="155">
        <v>1</v>
      </c>
    </row>
    <row r="14" spans="1:12" x14ac:dyDescent="0.25">
      <c r="A14" s="156"/>
      <c r="B14" s="157" t="s">
        <v>130</v>
      </c>
      <c r="C14" s="158">
        <f>SUM(C4:C13)</f>
        <v>1727803.4000000001</v>
      </c>
      <c r="D14" s="158">
        <f t="shared" ref="D14:E14" si="3">SUM(D4:D13)</f>
        <v>253952.06999999998</v>
      </c>
      <c r="E14" s="158">
        <f t="shared" si="3"/>
        <v>1473851.33</v>
      </c>
      <c r="F14" s="156"/>
      <c r="G14" s="144"/>
    </row>
    <row r="15" spans="1:12" x14ac:dyDescent="0.25">
      <c r="B15" s="159"/>
      <c r="C15" s="159"/>
      <c r="D15" s="159"/>
      <c r="E15" s="159"/>
      <c r="F15" s="159"/>
      <c r="G15" s="159"/>
    </row>
    <row r="17" spans="1:1" x14ac:dyDescent="0.25">
      <c r="A17" s="160" t="s">
        <v>172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5E1C-F0D2-4E1F-9816-9872B53A3790}">
  <dimension ref="A1:J35"/>
  <sheetViews>
    <sheetView topLeftCell="A6" workbookViewId="0">
      <selection activeCell="G33" sqref="G33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6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161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159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160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4" t="s">
        <v>69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B13" s="50" t="s">
        <v>70</v>
      </c>
      <c r="C13" s="50"/>
      <c r="D13" s="3"/>
      <c r="E13" s="39">
        <v>41331</v>
      </c>
      <c r="F13" s="3"/>
      <c r="G13" s="3"/>
      <c r="H13" s="3"/>
      <c r="I13" s="3"/>
    </row>
    <row r="15" spans="1:10" x14ac:dyDescent="0.25">
      <c r="B15" s="50" t="s">
        <v>71</v>
      </c>
      <c r="C15" s="50"/>
    </row>
    <row r="16" spans="1:10" x14ac:dyDescent="0.25">
      <c r="B16" t="s">
        <v>72</v>
      </c>
      <c r="C16" t="s">
        <v>73</v>
      </c>
      <c r="E16" s="36">
        <v>159457.39000000001</v>
      </c>
    </row>
    <row r="17" spans="1:10" x14ac:dyDescent="0.25">
      <c r="B17" t="s">
        <v>74</v>
      </c>
      <c r="C17" t="s">
        <v>75</v>
      </c>
      <c r="E17" s="36">
        <v>0</v>
      </c>
    </row>
    <row r="18" spans="1:10" x14ac:dyDescent="0.25">
      <c r="C18" t="s">
        <v>76</v>
      </c>
      <c r="E18" s="36">
        <v>0</v>
      </c>
    </row>
    <row r="19" spans="1:10" x14ac:dyDescent="0.25">
      <c r="C19" t="s">
        <v>77</v>
      </c>
      <c r="E19" s="36">
        <v>0</v>
      </c>
    </row>
    <row r="20" spans="1:10" x14ac:dyDescent="0.25">
      <c r="B20" t="s">
        <v>78</v>
      </c>
      <c r="C20" s="51" t="s">
        <v>79</v>
      </c>
      <c r="D20" s="51"/>
      <c r="E20" s="36">
        <f>E16-E17-E18-E19</f>
        <v>159457.39000000001</v>
      </c>
    </row>
    <row r="22" spans="1:10" x14ac:dyDescent="0.25">
      <c r="B22" s="50" t="s">
        <v>92</v>
      </c>
      <c r="C22" s="50"/>
    </row>
    <row r="23" spans="1:10" x14ac:dyDescent="0.25"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t="s">
        <v>81</v>
      </c>
      <c r="C24" s="52">
        <f>E13</f>
        <v>41331</v>
      </c>
      <c r="D24" s="52"/>
      <c r="E24" s="52"/>
      <c r="F24" s="52"/>
      <c r="G24" s="52"/>
      <c r="H24" s="52"/>
      <c r="I24" s="52"/>
      <c r="J24" s="52"/>
    </row>
    <row r="26" spans="1:10" x14ac:dyDescent="0.25">
      <c r="A26" s="1"/>
      <c r="B26" s="1"/>
      <c r="C26" s="252" t="s">
        <v>82</v>
      </c>
      <c r="D26" s="252" t="s">
        <v>82</v>
      </c>
      <c r="E26" s="252" t="s">
        <v>82</v>
      </c>
      <c r="F26" s="252" t="s">
        <v>4</v>
      </c>
      <c r="G26" s="250" t="s">
        <v>4</v>
      </c>
      <c r="H26" s="252" t="s">
        <v>3</v>
      </c>
      <c r="I26" s="250" t="s">
        <v>3</v>
      </c>
      <c r="J26" s="252" t="s">
        <v>83</v>
      </c>
    </row>
    <row r="27" spans="1:10" x14ac:dyDescent="0.25">
      <c r="A27" s="1"/>
      <c r="B27" s="1"/>
      <c r="C27" s="252" t="s">
        <v>84</v>
      </c>
      <c r="D27" s="252" t="s">
        <v>31</v>
      </c>
      <c r="E27" s="252" t="s">
        <v>85</v>
      </c>
      <c r="F27" s="252" t="s">
        <v>86</v>
      </c>
      <c r="G27" s="250" t="s">
        <v>29</v>
      </c>
      <c r="H27" s="252" t="s">
        <v>86</v>
      </c>
      <c r="I27" s="250" t="s">
        <v>29</v>
      </c>
      <c r="J27" s="252" t="s">
        <v>87</v>
      </c>
    </row>
    <row r="28" spans="1:10" x14ac:dyDescent="0.25">
      <c r="A28" s="1"/>
      <c r="B28" s="1"/>
      <c r="C28" s="252"/>
      <c r="D28" s="302">
        <v>41331</v>
      </c>
      <c r="E28" s="62"/>
      <c r="F28" s="62"/>
      <c r="G28" s="295">
        <v>16527.11</v>
      </c>
      <c r="H28" s="62"/>
      <c r="I28" s="295">
        <f>E20</f>
        <v>159457.39000000001</v>
      </c>
      <c r="J28" s="294"/>
    </row>
    <row r="29" spans="1:10" x14ac:dyDescent="0.25">
      <c r="C29" s="1">
        <v>1</v>
      </c>
      <c r="D29" s="11">
        <v>41696</v>
      </c>
      <c r="E29" s="62">
        <v>35196.9</v>
      </c>
      <c r="F29" s="62">
        <v>5389.65</v>
      </c>
      <c r="G29" s="295">
        <f>G28-F29</f>
        <v>11137.460000000001</v>
      </c>
      <c r="H29" s="62">
        <v>29807.25</v>
      </c>
      <c r="I29" s="251">
        <f>I28-H29</f>
        <v>129650.14000000001</v>
      </c>
      <c r="J29" s="62">
        <v>133539.64000000001</v>
      </c>
    </row>
    <row r="30" spans="1:10" x14ac:dyDescent="0.25">
      <c r="C30" s="1">
        <v>2</v>
      </c>
      <c r="D30" s="11">
        <v>42061</v>
      </c>
      <c r="E30" s="62">
        <f>E29</f>
        <v>35196.9</v>
      </c>
      <c r="F30" s="62">
        <v>4382.17</v>
      </c>
      <c r="G30" s="295">
        <f t="shared" ref="G30:G33" si="0">G29-F30</f>
        <v>6755.2900000000009</v>
      </c>
      <c r="H30" s="62">
        <v>30814.73</v>
      </c>
      <c r="I30" s="251">
        <f t="shared" ref="I30:I33" si="1">I29-H30</f>
        <v>98835.410000000018</v>
      </c>
      <c r="J30" s="62">
        <v>101800.47</v>
      </c>
    </row>
    <row r="31" spans="1:10" x14ac:dyDescent="0.25">
      <c r="C31" s="1">
        <v>3</v>
      </c>
      <c r="D31" s="11">
        <v>42426</v>
      </c>
      <c r="E31" s="62">
        <f t="shared" ref="E31:E33" si="2">E30</f>
        <v>35196.9</v>
      </c>
      <c r="F31" s="62">
        <v>3340.63</v>
      </c>
      <c r="G31" s="295">
        <f t="shared" si="0"/>
        <v>3414.6600000000008</v>
      </c>
      <c r="H31" s="62">
        <v>31856.27</v>
      </c>
      <c r="I31" s="251">
        <f t="shared" si="1"/>
        <v>66979.140000000014</v>
      </c>
      <c r="J31" s="62">
        <v>68988.509999999995</v>
      </c>
    </row>
    <row r="32" spans="1:10" x14ac:dyDescent="0.25">
      <c r="C32" s="1">
        <v>4</v>
      </c>
      <c r="D32" s="11">
        <v>42792</v>
      </c>
      <c r="E32" s="62">
        <f t="shared" si="2"/>
        <v>35196.9</v>
      </c>
      <c r="F32" s="62">
        <v>2263.89</v>
      </c>
      <c r="G32" s="295">
        <f t="shared" si="0"/>
        <v>1150.7700000000009</v>
      </c>
      <c r="H32" s="62">
        <v>32933.01</v>
      </c>
      <c r="I32" s="251">
        <f t="shared" si="1"/>
        <v>34046.130000000012</v>
      </c>
      <c r="J32" s="62">
        <v>35067.51</v>
      </c>
    </row>
    <row r="33" spans="3:10" x14ac:dyDescent="0.25">
      <c r="C33" s="1">
        <v>5</v>
      </c>
      <c r="D33" s="11">
        <v>43157</v>
      </c>
      <c r="E33" s="62">
        <f t="shared" si="2"/>
        <v>35196.9</v>
      </c>
      <c r="F33" s="62">
        <v>1150.77</v>
      </c>
      <c r="G33" s="295">
        <f t="shared" si="0"/>
        <v>0</v>
      </c>
      <c r="H33" s="62">
        <v>34046.129999999997</v>
      </c>
      <c r="I33" s="251">
        <f t="shared" si="1"/>
        <v>0</v>
      </c>
      <c r="J33" s="62">
        <v>1</v>
      </c>
    </row>
    <row r="34" spans="3:10" x14ac:dyDescent="0.25">
      <c r="C34" s="1"/>
      <c r="D34" s="13"/>
      <c r="E34" s="12"/>
      <c r="F34" s="12"/>
      <c r="G34" s="12"/>
      <c r="H34" s="12"/>
      <c r="I34" s="12"/>
      <c r="J34" s="12"/>
    </row>
    <row r="35" spans="3:10" x14ac:dyDescent="0.25">
      <c r="C35" s="1" t="s">
        <v>18</v>
      </c>
      <c r="E35" s="14">
        <f>SUM(E29:E33)</f>
        <v>175984.5</v>
      </c>
      <c r="F35" s="14">
        <f>SUM(F29:F33)</f>
        <v>16527.11</v>
      </c>
      <c r="G35" s="14"/>
      <c r="H35" s="14">
        <f>SUM(H29:H33)</f>
        <v>159457.39000000001</v>
      </c>
      <c r="I35" s="14"/>
    </row>
  </sheetData>
  <mergeCells count="8">
    <mergeCell ref="B22:C22"/>
    <mergeCell ref="C24:J24"/>
    <mergeCell ref="C1:J1"/>
    <mergeCell ref="C2:J2"/>
    <mergeCell ref="A3:J3"/>
    <mergeCell ref="B13:C13"/>
    <mergeCell ref="B15:C15"/>
    <mergeCell ref="C20:D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C2C-6D9D-4838-B1F4-F9A46EAB8F23}">
  <dimension ref="A1:J42"/>
  <sheetViews>
    <sheetView topLeftCell="A9" workbookViewId="0">
      <selection activeCell="I38" sqref="I38"/>
    </sheetView>
  </sheetViews>
  <sheetFormatPr defaultRowHeight="15" x14ac:dyDescent="0.25"/>
  <cols>
    <col min="1" max="1" width="12.7109375" customWidth="1"/>
    <col min="2" max="2" width="15.42578125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14" bestFit="1" customWidth="1"/>
    <col min="9" max="9" width="14.28515625" customWidth="1"/>
    <col min="10" max="10" width="9.7109375" bestFit="1" customWidth="1"/>
  </cols>
  <sheetData>
    <row r="1" spans="1:10" ht="21" x14ac:dyDescent="0.35">
      <c r="A1" s="48" t="s">
        <v>89</v>
      </c>
      <c r="B1" s="48"/>
      <c r="C1" s="48"/>
      <c r="D1" s="48"/>
      <c r="E1" s="48"/>
      <c r="F1" s="48"/>
      <c r="G1" s="48"/>
      <c r="H1" s="48"/>
    </row>
    <row r="2" spans="1:10" x14ac:dyDescent="0.25">
      <c r="A2" s="3" t="s">
        <v>102</v>
      </c>
      <c r="B2" s="3"/>
      <c r="C2" s="3"/>
      <c r="D2" s="3"/>
      <c r="E2" s="3"/>
      <c r="F2" s="3"/>
      <c r="G2" s="3"/>
      <c r="H2" s="3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103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</row>
    <row r="12" spans="1:10" x14ac:dyDescent="0.25">
      <c r="C12" s="3"/>
      <c r="D12" s="3"/>
      <c r="E12" s="3"/>
      <c r="F12" s="3"/>
      <c r="G12" s="3"/>
      <c r="H12" s="3"/>
    </row>
    <row r="13" spans="1:10" ht="15.75" x14ac:dyDescent="0.25">
      <c r="A13" s="34" t="s">
        <v>69</v>
      </c>
      <c r="B13" s="34"/>
      <c r="C13" s="34"/>
      <c r="D13" s="34"/>
      <c r="E13" s="34"/>
      <c r="F13" s="34"/>
      <c r="G13" s="34"/>
      <c r="H13" s="34"/>
    </row>
    <row r="14" spans="1:10" x14ac:dyDescent="0.25">
      <c r="B14" t="s">
        <v>70</v>
      </c>
      <c r="D14" s="3"/>
      <c r="E14" s="3"/>
      <c r="F14" s="3"/>
      <c r="G14" s="39">
        <v>41353</v>
      </c>
    </row>
    <row r="16" spans="1:10" x14ac:dyDescent="0.25">
      <c r="B16" t="s">
        <v>71</v>
      </c>
    </row>
    <row r="17" spans="1:10" x14ac:dyDescent="0.25">
      <c r="B17" t="s">
        <v>72</v>
      </c>
      <c r="C17" t="s">
        <v>73</v>
      </c>
      <c r="G17" s="36">
        <v>657436</v>
      </c>
    </row>
    <row r="18" spans="1:10" x14ac:dyDescent="0.25">
      <c r="B18" t="s">
        <v>74</v>
      </c>
      <c r="C18" t="s">
        <v>75</v>
      </c>
      <c r="G18" s="36">
        <v>0</v>
      </c>
    </row>
    <row r="19" spans="1:10" x14ac:dyDescent="0.25">
      <c r="C19" t="s">
        <v>76</v>
      </c>
      <c r="G19" s="36">
        <v>0</v>
      </c>
    </row>
    <row r="20" spans="1:10" x14ac:dyDescent="0.25">
      <c r="C20" t="s">
        <v>77</v>
      </c>
      <c r="G20" s="36">
        <v>70000</v>
      </c>
    </row>
    <row r="21" spans="1:10" x14ac:dyDescent="0.25">
      <c r="B21" s="61" t="s">
        <v>78</v>
      </c>
      <c r="C21" s="51" t="s">
        <v>79</v>
      </c>
      <c r="D21" s="51"/>
      <c r="E21" s="51"/>
      <c r="F21" s="51"/>
      <c r="G21" s="36">
        <f>G17-G18-G19-G20</f>
        <v>587436</v>
      </c>
    </row>
    <row r="23" spans="1:10" x14ac:dyDescent="0.25">
      <c r="B23" t="s">
        <v>80</v>
      </c>
    </row>
    <row r="24" spans="1:10" x14ac:dyDescent="0.25">
      <c r="A24" s="38"/>
      <c r="B24" s="38"/>
      <c r="C24" s="38"/>
      <c r="D24" s="38"/>
      <c r="E24" s="38"/>
      <c r="F24" s="38"/>
      <c r="G24" s="38"/>
      <c r="H24" s="38"/>
    </row>
    <row r="25" spans="1:10" x14ac:dyDescent="0.25">
      <c r="A25" t="s">
        <v>81</v>
      </c>
      <c r="B25" s="39">
        <v>41353</v>
      </c>
      <c r="C25" s="39"/>
      <c r="D25" s="39"/>
      <c r="E25" s="39"/>
      <c r="F25" s="39"/>
      <c r="G25" s="39"/>
      <c r="H25" s="39"/>
    </row>
    <row r="27" spans="1:10" x14ac:dyDescent="0.25">
      <c r="A27" s="252" t="s">
        <v>82</v>
      </c>
      <c r="B27" s="252" t="s">
        <v>82</v>
      </c>
      <c r="C27" s="252" t="s">
        <v>82</v>
      </c>
      <c r="D27" s="252" t="s">
        <v>4</v>
      </c>
      <c r="E27" s="250" t="s">
        <v>4</v>
      </c>
      <c r="F27" s="252" t="s">
        <v>3</v>
      </c>
      <c r="G27" s="250" t="s">
        <v>3</v>
      </c>
      <c r="H27" s="252" t="s">
        <v>83</v>
      </c>
      <c r="J27" s="1"/>
    </row>
    <row r="28" spans="1:10" x14ac:dyDescent="0.25">
      <c r="A28" s="252" t="s">
        <v>84</v>
      </c>
      <c r="B28" s="252" t="s">
        <v>31</v>
      </c>
      <c r="C28" s="252" t="s">
        <v>85</v>
      </c>
      <c r="D28" s="252" t="s">
        <v>86</v>
      </c>
      <c r="E28" s="250" t="s">
        <v>29</v>
      </c>
      <c r="F28" s="252" t="s">
        <v>86</v>
      </c>
      <c r="G28" s="250" t="s">
        <v>29</v>
      </c>
      <c r="H28" s="252" t="s">
        <v>87</v>
      </c>
      <c r="J28" s="1"/>
    </row>
    <row r="29" spans="1:10" x14ac:dyDescent="0.25">
      <c r="A29" s="252"/>
      <c r="B29" s="302">
        <v>41353</v>
      </c>
      <c r="C29" s="304"/>
      <c r="D29" s="304"/>
      <c r="E29" s="303">
        <v>111094.70000000001</v>
      </c>
      <c r="F29" s="304"/>
      <c r="G29" s="303">
        <f>G21</f>
        <v>587436</v>
      </c>
      <c r="H29" s="294"/>
      <c r="J29" s="1"/>
    </row>
    <row r="30" spans="1:10" x14ac:dyDescent="0.25">
      <c r="A30" s="1">
        <v>1</v>
      </c>
      <c r="B30" s="11">
        <v>41718</v>
      </c>
      <c r="C30" s="62">
        <v>69853.070000000007</v>
      </c>
      <c r="D30" s="62">
        <v>19267.900000000001</v>
      </c>
      <c r="E30" s="295">
        <f>E29-D30</f>
        <v>91826.800000000017</v>
      </c>
      <c r="F30" s="62">
        <f>C30-D30</f>
        <v>50585.170000000006</v>
      </c>
      <c r="G30" s="251">
        <f>G29-F30</f>
        <v>536850.82999999996</v>
      </c>
      <c r="H30" s="62">
        <v>552956.35</v>
      </c>
    </row>
    <row r="31" spans="1:10" x14ac:dyDescent="0.25">
      <c r="A31" s="1">
        <v>2</v>
      </c>
      <c r="B31" s="11">
        <v>42083</v>
      </c>
      <c r="C31" s="62">
        <f>C30</f>
        <v>69853.070000000007</v>
      </c>
      <c r="D31" s="62">
        <v>17608.71</v>
      </c>
      <c r="E31" s="295">
        <f>E30-D31</f>
        <v>74218.090000000026</v>
      </c>
      <c r="F31" s="62">
        <f>C31-D31</f>
        <v>52244.360000000008</v>
      </c>
      <c r="G31" s="251">
        <f>G30-F31</f>
        <v>484606.47</v>
      </c>
      <c r="H31" s="62">
        <v>499144.66</v>
      </c>
    </row>
    <row r="32" spans="1:10" x14ac:dyDescent="0.25">
      <c r="A32" s="1">
        <v>3</v>
      </c>
      <c r="B32" s="11">
        <v>42449</v>
      </c>
      <c r="C32" s="62">
        <f t="shared" ref="C32:C37" si="0">C31</f>
        <v>69853.070000000007</v>
      </c>
      <c r="D32" s="62">
        <v>15895.09</v>
      </c>
      <c r="E32" s="295">
        <f t="shared" ref="E32:E37" si="1">E31-D32</f>
        <v>58323.000000000029</v>
      </c>
      <c r="F32" s="62">
        <f t="shared" ref="F32:F39" si="2">C32-D32</f>
        <v>53957.98000000001</v>
      </c>
      <c r="G32" s="251">
        <f>G31-F32</f>
        <v>430648.49</v>
      </c>
      <c r="H32" s="62">
        <v>443567.94</v>
      </c>
    </row>
    <row r="33" spans="1:10" x14ac:dyDescent="0.25">
      <c r="A33" s="1">
        <v>4</v>
      </c>
      <c r="B33" s="11">
        <v>42814</v>
      </c>
      <c r="C33" s="62">
        <f t="shared" si="0"/>
        <v>69853.070000000007</v>
      </c>
      <c r="D33" s="62">
        <v>14125.27</v>
      </c>
      <c r="E33" s="295">
        <f t="shared" si="1"/>
        <v>44197.730000000025</v>
      </c>
      <c r="F33" s="62">
        <f t="shared" si="2"/>
        <v>55727.8</v>
      </c>
      <c r="G33" s="251">
        <f>G32-F33</f>
        <v>374920.69</v>
      </c>
      <c r="H33" s="62">
        <v>386168.31</v>
      </c>
    </row>
    <row r="34" spans="1:10" x14ac:dyDescent="0.25">
      <c r="A34" s="1">
        <v>5</v>
      </c>
      <c r="B34" s="11">
        <v>43179</v>
      </c>
      <c r="C34" s="62">
        <f t="shared" si="0"/>
        <v>69853.070000000007</v>
      </c>
      <c r="D34" s="62">
        <v>12297.4</v>
      </c>
      <c r="E34" s="295">
        <f t="shared" si="1"/>
        <v>31900.330000000024</v>
      </c>
      <c r="F34" s="62">
        <f t="shared" si="2"/>
        <v>57555.670000000006</v>
      </c>
      <c r="G34" s="251">
        <f>G33-F34</f>
        <v>317365.02</v>
      </c>
      <c r="H34" s="62">
        <v>326885.96999999997</v>
      </c>
      <c r="J34" s="54"/>
    </row>
    <row r="35" spans="1:10" x14ac:dyDescent="0.25">
      <c r="A35" s="1">
        <v>6</v>
      </c>
      <c r="B35" s="11">
        <v>43544</v>
      </c>
      <c r="C35" s="62">
        <f t="shared" si="0"/>
        <v>69853.070000000007</v>
      </c>
      <c r="D35" s="62">
        <v>10409.57</v>
      </c>
      <c r="E35" s="295">
        <f t="shared" si="1"/>
        <v>21490.760000000024</v>
      </c>
      <c r="F35" s="62">
        <f t="shared" si="2"/>
        <v>59443.500000000007</v>
      </c>
      <c r="G35" s="251">
        <f>G34-F35</f>
        <v>257921.52000000002</v>
      </c>
      <c r="H35" s="62">
        <v>265659.17</v>
      </c>
      <c r="J35" s="54"/>
    </row>
    <row r="36" spans="1:10" x14ac:dyDescent="0.25">
      <c r="A36" s="1">
        <v>7</v>
      </c>
      <c r="B36" s="11">
        <v>43910</v>
      </c>
      <c r="C36" s="62">
        <f t="shared" si="0"/>
        <v>69853.070000000007</v>
      </c>
      <c r="D36" s="62">
        <v>8459.83</v>
      </c>
      <c r="E36" s="295">
        <f t="shared" si="1"/>
        <v>13030.930000000024</v>
      </c>
      <c r="F36" s="62">
        <f t="shared" si="2"/>
        <v>61393.240000000005</v>
      </c>
      <c r="G36" s="251">
        <f>G35-F36</f>
        <v>196528.28000000003</v>
      </c>
      <c r="H36" s="62">
        <v>202424.13</v>
      </c>
    </row>
    <row r="37" spans="1:10" x14ac:dyDescent="0.25">
      <c r="A37" s="1">
        <v>8</v>
      </c>
      <c r="B37" s="11">
        <v>44275</v>
      </c>
      <c r="C37" s="62">
        <f t="shared" si="0"/>
        <v>69853.070000000007</v>
      </c>
      <c r="D37" s="62">
        <v>6446.13</v>
      </c>
      <c r="E37" s="295">
        <f t="shared" si="1"/>
        <v>6584.8000000000238</v>
      </c>
      <c r="F37" s="62">
        <f t="shared" si="2"/>
        <v>63406.94000000001</v>
      </c>
      <c r="G37" s="251">
        <f>G36-F37</f>
        <v>133121.34000000003</v>
      </c>
      <c r="H37" s="62">
        <v>137114.98000000001</v>
      </c>
    </row>
    <row r="38" spans="1:10" x14ac:dyDescent="0.25">
      <c r="A38" s="15" t="s">
        <v>212</v>
      </c>
      <c r="B38" s="11">
        <v>44420</v>
      </c>
      <c r="C38" s="62">
        <v>139516.76</v>
      </c>
      <c r="D38" s="62">
        <v>6395.42</v>
      </c>
      <c r="E38" s="295">
        <v>0</v>
      </c>
      <c r="F38" s="62">
        <v>133121.34</v>
      </c>
      <c r="G38" s="251">
        <f>G37-F38</f>
        <v>0</v>
      </c>
      <c r="H38" s="62"/>
      <c r="I38" t="s">
        <v>213</v>
      </c>
    </row>
    <row r="39" spans="1:10" x14ac:dyDescent="0.25">
      <c r="A39" s="1">
        <v>9</v>
      </c>
      <c r="B39" s="11">
        <v>44640</v>
      </c>
      <c r="C39" s="62"/>
      <c r="D39" s="62"/>
      <c r="E39" s="295"/>
      <c r="F39" s="62"/>
      <c r="G39" s="251"/>
      <c r="H39" s="62"/>
    </row>
    <row r="40" spans="1:10" x14ac:dyDescent="0.25">
      <c r="A40" s="1">
        <v>10</v>
      </c>
      <c r="B40" s="11">
        <v>45005</v>
      </c>
      <c r="C40" s="62"/>
      <c r="D40" s="62"/>
      <c r="E40" s="295"/>
      <c r="F40" s="62"/>
      <c r="G40" s="251"/>
      <c r="H40" s="62"/>
    </row>
    <row r="41" spans="1:10" x14ac:dyDescent="0.25">
      <c r="A41" s="1"/>
      <c r="B41" s="13"/>
      <c r="C41" s="62"/>
      <c r="D41" s="12"/>
      <c r="E41" s="12"/>
      <c r="F41" s="12"/>
      <c r="G41" s="12"/>
      <c r="H41" s="12"/>
    </row>
    <row r="42" spans="1:10" x14ac:dyDescent="0.25">
      <c r="A42" s="1" t="s">
        <v>18</v>
      </c>
      <c r="C42" s="60">
        <f>SUM(C30:C40)</f>
        <v>698341.32000000007</v>
      </c>
      <c r="D42" s="14">
        <f>SUM(D30:D40)</f>
        <v>110905.32</v>
      </c>
      <c r="E42" s="14"/>
      <c r="F42" s="14">
        <f>SUM(F30:F40)</f>
        <v>587436</v>
      </c>
      <c r="G42" s="14"/>
    </row>
  </sheetData>
  <mergeCells count="3">
    <mergeCell ref="A1:H1"/>
    <mergeCell ref="C21:F21"/>
    <mergeCell ref="A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80E8-DBF9-4730-AB41-895E6869CDC6}">
  <dimension ref="A1:J35"/>
  <sheetViews>
    <sheetView topLeftCell="A9" workbookViewId="0">
      <selection activeCell="D28" sqref="D28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108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107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4" t="s">
        <v>69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B13" s="50" t="s">
        <v>70</v>
      </c>
      <c r="C13" s="50"/>
      <c r="D13" s="3"/>
      <c r="E13" s="3"/>
      <c r="G13" s="39">
        <v>41654</v>
      </c>
      <c r="H13" s="3"/>
      <c r="I13" s="3"/>
    </row>
    <row r="15" spans="1:10" x14ac:dyDescent="0.25">
      <c r="B15" s="50" t="s">
        <v>71</v>
      </c>
      <c r="C15" s="50"/>
    </row>
    <row r="16" spans="1:10" x14ac:dyDescent="0.25">
      <c r="B16" t="s">
        <v>72</v>
      </c>
      <c r="C16" t="s">
        <v>73</v>
      </c>
      <c r="G16" s="36">
        <v>167846.23</v>
      </c>
    </row>
    <row r="17" spans="1:10" x14ac:dyDescent="0.25">
      <c r="B17" t="s">
        <v>74</v>
      </c>
      <c r="C17" t="s">
        <v>75</v>
      </c>
      <c r="G17" s="36">
        <v>0</v>
      </c>
    </row>
    <row r="18" spans="1:10" x14ac:dyDescent="0.25">
      <c r="C18" t="s">
        <v>76</v>
      </c>
      <c r="G18" s="36">
        <v>0</v>
      </c>
    </row>
    <row r="19" spans="1:10" x14ac:dyDescent="0.25">
      <c r="C19" t="s">
        <v>77</v>
      </c>
      <c r="G19" s="36">
        <v>0</v>
      </c>
    </row>
    <row r="20" spans="1:10" ht="15" customHeight="1" x14ac:dyDescent="0.25">
      <c r="B20" t="s">
        <v>78</v>
      </c>
      <c r="C20" s="47" t="s">
        <v>79</v>
      </c>
      <c r="D20" s="47"/>
      <c r="G20" s="36">
        <f>G16-G17-G18-G19</f>
        <v>167846.23</v>
      </c>
    </row>
    <row r="22" spans="1:10" x14ac:dyDescent="0.25">
      <c r="B22" s="50" t="s">
        <v>92</v>
      </c>
      <c r="C22" s="50"/>
    </row>
    <row r="23" spans="1:10" x14ac:dyDescent="0.25"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t="s">
        <v>81</v>
      </c>
      <c r="C24" s="52">
        <f>G13</f>
        <v>41654</v>
      </c>
      <c r="D24" s="52"/>
      <c r="E24" s="52"/>
      <c r="F24" s="52"/>
      <c r="G24" s="52"/>
      <c r="H24" s="52"/>
      <c r="I24" s="52"/>
      <c r="J24" s="52"/>
    </row>
    <row r="26" spans="1:10" x14ac:dyDescent="0.25">
      <c r="A26" s="1"/>
      <c r="B26" s="1"/>
      <c r="C26" s="252" t="s">
        <v>82</v>
      </c>
      <c r="D26" s="252" t="s">
        <v>82</v>
      </c>
      <c r="E26" s="252" t="s">
        <v>82</v>
      </c>
      <c r="F26" s="252" t="s">
        <v>4</v>
      </c>
      <c r="G26" s="250" t="s">
        <v>4</v>
      </c>
      <c r="H26" s="252" t="s">
        <v>3</v>
      </c>
      <c r="I26" s="250" t="s">
        <v>3</v>
      </c>
      <c r="J26" s="252" t="s">
        <v>83</v>
      </c>
    </row>
    <row r="27" spans="1:10" x14ac:dyDescent="0.25">
      <c r="A27" s="1"/>
      <c r="B27" s="1"/>
      <c r="C27" s="252" t="s">
        <v>84</v>
      </c>
      <c r="D27" s="252" t="s">
        <v>31</v>
      </c>
      <c r="E27" s="252" t="s">
        <v>85</v>
      </c>
      <c r="F27" s="252" t="s">
        <v>86</v>
      </c>
      <c r="G27" s="250" t="s">
        <v>29</v>
      </c>
      <c r="H27" s="252" t="s">
        <v>86</v>
      </c>
      <c r="I27" s="250" t="s">
        <v>29</v>
      </c>
      <c r="J27" s="252" t="s">
        <v>87</v>
      </c>
    </row>
    <row r="28" spans="1:10" x14ac:dyDescent="0.25">
      <c r="A28" s="1"/>
      <c r="B28" s="1"/>
      <c r="C28" s="252"/>
      <c r="D28" s="302">
        <v>41654</v>
      </c>
      <c r="E28" s="294"/>
      <c r="F28" s="294"/>
      <c r="G28" s="303">
        <v>17238.920000000002</v>
      </c>
      <c r="H28" s="304"/>
      <c r="I28" s="303">
        <f>G20</f>
        <v>167846.23</v>
      </c>
      <c r="J28" s="294"/>
    </row>
    <row r="29" spans="1:10" x14ac:dyDescent="0.25">
      <c r="C29" s="1">
        <v>1</v>
      </c>
      <c r="D29" s="11">
        <v>42019</v>
      </c>
      <c r="E29" s="62">
        <v>37017.03</v>
      </c>
      <c r="F29" s="62">
        <v>5622.85</v>
      </c>
      <c r="G29" s="295">
        <f>F35-F29</f>
        <v>11616.070000000002</v>
      </c>
      <c r="H29" s="62">
        <f>E29-F29</f>
        <v>31394.18</v>
      </c>
      <c r="I29" s="251">
        <f>G20-H29</f>
        <v>136452.05000000002</v>
      </c>
      <c r="J29" s="62">
        <v>140545.60999999999</v>
      </c>
    </row>
    <row r="30" spans="1:10" x14ac:dyDescent="0.25">
      <c r="C30" s="1">
        <v>2</v>
      </c>
      <c r="D30" s="11">
        <v>42384</v>
      </c>
      <c r="E30" s="62">
        <f>E29</f>
        <v>37017.03</v>
      </c>
      <c r="F30" s="62">
        <v>4571.1400000000003</v>
      </c>
      <c r="G30" s="295">
        <f>G29-F30</f>
        <v>7044.9300000000012</v>
      </c>
      <c r="H30" s="62">
        <f>E30-F30</f>
        <v>32445.89</v>
      </c>
      <c r="I30" s="251">
        <f>I29-H30</f>
        <v>104006.16000000002</v>
      </c>
      <c r="J30" s="62">
        <v>107126.34</v>
      </c>
    </row>
    <row r="31" spans="1:10" x14ac:dyDescent="0.25">
      <c r="C31" s="1">
        <v>3</v>
      </c>
      <c r="D31" s="11">
        <v>42750</v>
      </c>
      <c r="E31" s="62">
        <f t="shared" ref="E31:E33" si="0">E30</f>
        <v>37017.03</v>
      </c>
      <c r="F31" s="62">
        <v>3484.2</v>
      </c>
      <c r="G31" s="295">
        <f t="shared" ref="G31:G33" si="1">G30-F31</f>
        <v>3560.7300000000014</v>
      </c>
      <c r="H31" s="62">
        <f t="shared" ref="H31" si="2">E31-F31</f>
        <v>33532.83</v>
      </c>
      <c r="I31" s="251">
        <f>I30-H31</f>
        <v>70473.330000000016</v>
      </c>
      <c r="J31" s="62">
        <v>72587.53</v>
      </c>
    </row>
    <row r="32" spans="1:10" x14ac:dyDescent="0.25">
      <c r="C32" s="1">
        <v>4</v>
      </c>
      <c r="D32" s="11">
        <v>43115</v>
      </c>
      <c r="E32" s="62">
        <f t="shared" si="0"/>
        <v>37017.03</v>
      </c>
      <c r="F32" s="62">
        <v>2360.86</v>
      </c>
      <c r="G32" s="295">
        <f t="shared" si="1"/>
        <v>1199.8700000000013</v>
      </c>
      <c r="H32" s="62">
        <f>E32-F32</f>
        <v>34656.17</v>
      </c>
      <c r="I32" s="251">
        <f>I31-H32</f>
        <v>35817.160000000018</v>
      </c>
      <c r="J32" s="62">
        <v>36891.67</v>
      </c>
    </row>
    <row r="33" spans="3:10" x14ac:dyDescent="0.25">
      <c r="C33" s="1">
        <v>5</v>
      </c>
      <c r="D33" s="11">
        <v>43480</v>
      </c>
      <c r="E33" s="62">
        <f t="shared" si="0"/>
        <v>37017.03</v>
      </c>
      <c r="F33" s="62">
        <v>1199.8699999999999</v>
      </c>
      <c r="G33" s="295">
        <f t="shared" si="1"/>
        <v>0</v>
      </c>
      <c r="H33" s="62">
        <f>E33-F33</f>
        <v>35817.159999999996</v>
      </c>
      <c r="I33" s="251">
        <f>I32-H33</f>
        <v>0</v>
      </c>
      <c r="J33" s="62">
        <v>1</v>
      </c>
    </row>
    <row r="34" spans="3:10" x14ac:dyDescent="0.25">
      <c r="C34" s="1"/>
      <c r="D34" s="13"/>
      <c r="E34" s="62"/>
      <c r="F34" s="62"/>
      <c r="G34" s="62"/>
      <c r="H34" s="62"/>
      <c r="I34" s="62"/>
      <c r="J34" s="62"/>
    </row>
    <row r="35" spans="3:10" x14ac:dyDescent="0.25">
      <c r="C35" s="1" t="s">
        <v>18</v>
      </c>
      <c r="E35" s="60">
        <f>SUM(E29:E33)</f>
        <v>185085.15</v>
      </c>
      <c r="F35" s="60">
        <f>SUM(F29:F33)</f>
        <v>17238.920000000002</v>
      </c>
      <c r="G35" s="60"/>
      <c r="H35" s="60">
        <f>SUM(H29:H33)</f>
        <v>167846.23</v>
      </c>
      <c r="I35" s="60"/>
      <c r="J35" s="60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12EA-93F8-4395-9148-7C56E78086EC}">
  <dimension ref="A1:L39"/>
  <sheetViews>
    <sheetView topLeftCell="A12" workbookViewId="0">
      <selection activeCell="D29" sqref="D29"/>
    </sheetView>
  </sheetViews>
  <sheetFormatPr defaultRowHeight="15" x14ac:dyDescent="0.25"/>
  <cols>
    <col min="3" max="3" width="16.28515625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101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67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99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 t="s">
        <v>100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4" t="s">
        <v>69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x14ac:dyDescent="0.25">
      <c r="B14" s="50" t="s">
        <v>70</v>
      </c>
      <c r="C14" s="50"/>
      <c r="D14" s="3"/>
      <c r="E14" s="3"/>
      <c r="G14" s="39">
        <v>42111</v>
      </c>
      <c r="H14" s="3"/>
      <c r="I14" s="3"/>
    </row>
    <row r="16" spans="1:10" x14ac:dyDescent="0.25">
      <c r="B16" s="50" t="s">
        <v>71</v>
      </c>
      <c r="C16" s="50"/>
    </row>
    <row r="17" spans="1:12" x14ac:dyDescent="0.25">
      <c r="B17" t="s">
        <v>72</v>
      </c>
      <c r="C17" t="s">
        <v>73</v>
      </c>
      <c r="G17" s="36">
        <v>680830</v>
      </c>
    </row>
    <row r="18" spans="1:12" x14ac:dyDescent="0.25">
      <c r="B18" t="s">
        <v>74</v>
      </c>
      <c r="C18" t="s">
        <v>75</v>
      </c>
      <c r="G18" s="36">
        <v>0</v>
      </c>
    </row>
    <row r="19" spans="1:12" x14ac:dyDescent="0.25">
      <c r="C19" t="s">
        <v>76</v>
      </c>
      <c r="G19" s="36">
        <v>0</v>
      </c>
    </row>
    <row r="20" spans="1:12" x14ac:dyDescent="0.25">
      <c r="C20" t="s">
        <v>77</v>
      </c>
      <c r="G20" s="36">
        <v>0</v>
      </c>
    </row>
    <row r="21" spans="1:12" x14ac:dyDescent="0.25">
      <c r="B21" t="s">
        <v>78</v>
      </c>
      <c r="C21" s="47" t="s">
        <v>79</v>
      </c>
      <c r="D21" s="47"/>
      <c r="G21" s="36">
        <f>G17-G18-G19-G20</f>
        <v>680830</v>
      </c>
    </row>
    <row r="23" spans="1:12" x14ac:dyDescent="0.25">
      <c r="B23" s="50" t="s">
        <v>80</v>
      </c>
      <c r="C23" s="50"/>
    </row>
    <row r="24" spans="1:12" x14ac:dyDescent="0.25">
      <c r="C24" s="38"/>
      <c r="D24" s="38"/>
      <c r="E24" s="38"/>
      <c r="F24" s="38"/>
      <c r="G24" s="38"/>
      <c r="H24" s="38"/>
      <c r="I24" s="38"/>
      <c r="J24" s="38"/>
    </row>
    <row r="25" spans="1:12" x14ac:dyDescent="0.25">
      <c r="A25" t="s">
        <v>81</v>
      </c>
      <c r="C25" s="52">
        <f>G14</f>
        <v>42111</v>
      </c>
      <c r="D25" s="52"/>
      <c r="E25" s="52"/>
      <c r="F25" s="52"/>
      <c r="G25" s="52"/>
      <c r="H25" s="52"/>
      <c r="I25" s="52"/>
      <c r="J25" s="52"/>
    </row>
    <row r="27" spans="1:12" x14ac:dyDescent="0.25">
      <c r="A27" s="1"/>
      <c r="B27" s="1"/>
      <c r="C27" s="252" t="s">
        <v>82</v>
      </c>
      <c r="D27" s="252" t="s">
        <v>82</v>
      </c>
      <c r="E27" s="252" t="s">
        <v>82</v>
      </c>
      <c r="F27" s="252" t="s">
        <v>4</v>
      </c>
      <c r="G27" s="250" t="s">
        <v>4</v>
      </c>
      <c r="H27" s="252" t="s">
        <v>3</v>
      </c>
      <c r="I27" s="250" t="s">
        <v>3</v>
      </c>
      <c r="J27" s="252" t="s">
        <v>83</v>
      </c>
      <c r="K27" s="1"/>
      <c r="L27" s="1"/>
    </row>
    <row r="28" spans="1:12" x14ac:dyDescent="0.25">
      <c r="A28" s="1"/>
      <c r="B28" s="1"/>
      <c r="C28" s="252" t="s">
        <v>84</v>
      </c>
      <c r="D28" s="252" t="s">
        <v>31</v>
      </c>
      <c r="E28" s="252" t="s">
        <v>85</v>
      </c>
      <c r="F28" s="252" t="s">
        <v>86</v>
      </c>
      <c r="G28" s="250" t="s">
        <v>29</v>
      </c>
      <c r="H28" s="252" t="s">
        <v>86</v>
      </c>
      <c r="I28" s="250" t="s">
        <v>29</v>
      </c>
      <c r="J28" s="252" t="s">
        <v>87</v>
      </c>
      <c r="K28" s="1"/>
      <c r="L28" s="1"/>
    </row>
    <row r="29" spans="1:12" x14ac:dyDescent="0.25">
      <c r="A29" s="1"/>
      <c r="B29" s="1"/>
      <c r="C29" s="252"/>
      <c r="D29" s="302">
        <v>42111</v>
      </c>
      <c r="E29" s="62"/>
      <c r="F29" s="62"/>
      <c r="G29" s="301">
        <v>104752.12</v>
      </c>
      <c r="H29" s="22"/>
      <c r="I29" s="301">
        <f>G21</f>
        <v>680830</v>
      </c>
      <c r="J29" s="62"/>
      <c r="K29" s="1"/>
      <c r="L29" s="1"/>
    </row>
    <row r="30" spans="1:12" x14ac:dyDescent="0.25">
      <c r="C30" s="1">
        <v>1</v>
      </c>
      <c r="D30" s="11">
        <v>42477</v>
      </c>
      <c r="E30" s="62">
        <v>94631.39</v>
      </c>
      <c r="F30" s="62">
        <v>22467.39</v>
      </c>
      <c r="G30" s="295">
        <f>G29-F30</f>
        <v>82284.73</v>
      </c>
      <c r="H30" s="62">
        <f>E30-F30</f>
        <v>72164</v>
      </c>
      <c r="I30" s="251">
        <f>I29-H30</f>
        <v>608666</v>
      </c>
      <c r="J30" s="62">
        <v>626925.98</v>
      </c>
    </row>
    <row r="31" spans="1:12" x14ac:dyDescent="0.25">
      <c r="C31" s="1">
        <v>2</v>
      </c>
      <c r="D31" s="11">
        <v>42842</v>
      </c>
      <c r="E31" s="62">
        <f>E30</f>
        <v>94631.39</v>
      </c>
      <c r="F31" s="62">
        <v>20085.98</v>
      </c>
      <c r="G31" s="295">
        <f t="shared" ref="G31:G37" si="0">G30-F31</f>
        <v>62198.75</v>
      </c>
      <c r="H31" s="62">
        <f>E31-F31</f>
        <v>74545.41</v>
      </c>
      <c r="I31" s="251">
        <f t="shared" ref="I31:I37" si="1">I30-H31</f>
        <v>534120.59</v>
      </c>
      <c r="J31" s="62">
        <v>550144.21</v>
      </c>
    </row>
    <row r="32" spans="1:12" x14ac:dyDescent="0.25">
      <c r="C32" s="1">
        <v>3</v>
      </c>
      <c r="D32" s="11">
        <v>43207</v>
      </c>
      <c r="E32" s="62">
        <f t="shared" ref="E32:E36" si="2">E31</f>
        <v>94631.39</v>
      </c>
      <c r="F32" s="62">
        <v>17625.98</v>
      </c>
      <c r="G32" s="295">
        <f t="shared" si="0"/>
        <v>44572.770000000004</v>
      </c>
      <c r="H32" s="62">
        <f t="shared" ref="H32:H37" si="3">E32-F32</f>
        <v>77005.41</v>
      </c>
      <c r="I32" s="251">
        <f t="shared" si="1"/>
        <v>457115.17999999993</v>
      </c>
      <c r="J32" s="62">
        <v>470828.64</v>
      </c>
      <c r="L32" s="54"/>
    </row>
    <row r="33" spans="3:12" x14ac:dyDescent="0.25">
      <c r="C33" s="1">
        <v>4</v>
      </c>
      <c r="D33" s="11">
        <v>43572</v>
      </c>
      <c r="E33" s="62">
        <f t="shared" si="2"/>
        <v>94631.39</v>
      </c>
      <c r="F33" s="62">
        <v>15084.8</v>
      </c>
      <c r="G33" s="295">
        <f t="shared" si="0"/>
        <v>29487.970000000005</v>
      </c>
      <c r="H33" s="62">
        <f t="shared" si="3"/>
        <v>79546.59</v>
      </c>
      <c r="I33" s="251">
        <f t="shared" si="1"/>
        <v>377568.58999999997</v>
      </c>
      <c r="J33" s="62">
        <v>388895.65</v>
      </c>
      <c r="L33" s="54"/>
    </row>
    <row r="34" spans="3:12" x14ac:dyDescent="0.25">
      <c r="C34" s="1">
        <v>5</v>
      </c>
      <c r="D34" s="11">
        <v>43938</v>
      </c>
      <c r="E34" s="62">
        <f t="shared" si="2"/>
        <v>94631.39</v>
      </c>
      <c r="F34" s="62">
        <v>12459.76</v>
      </c>
      <c r="G34" s="295">
        <f t="shared" si="0"/>
        <v>17028.210000000006</v>
      </c>
      <c r="H34" s="62">
        <f t="shared" si="3"/>
        <v>82171.63</v>
      </c>
      <c r="I34" s="251">
        <f t="shared" si="1"/>
        <v>295396.95999999996</v>
      </c>
      <c r="J34" s="62">
        <v>304258.87</v>
      </c>
      <c r="L34" s="54"/>
    </row>
    <row r="35" spans="3:12" x14ac:dyDescent="0.25">
      <c r="C35" s="1">
        <v>6</v>
      </c>
      <c r="D35" s="11">
        <v>44303</v>
      </c>
      <c r="E35" s="62">
        <f t="shared" si="2"/>
        <v>94631.39</v>
      </c>
      <c r="F35" s="62">
        <v>9748.1</v>
      </c>
      <c r="G35" s="295">
        <f t="shared" si="0"/>
        <v>7280.110000000006</v>
      </c>
      <c r="H35" s="62">
        <f t="shared" si="3"/>
        <v>84883.29</v>
      </c>
      <c r="I35" s="251">
        <f t="shared" si="1"/>
        <v>210513.66999999998</v>
      </c>
      <c r="J35" s="62">
        <v>216829.08</v>
      </c>
      <c r="L35" s="54"/>
    </row>
    <row r="36" spans="3:12" x14ac:dyDescent="0.25">
      <c r="C36" s="1">
        <v>7</v>
      </c>
      <c r="D36" s="11">
        <v>44668</v>
      </c>
      <c r="E36" s="62">
        <f t="shared" si="2"/>
        <v>94631.39</v>
      </c>
      <c r="F36" s="62">
        <v>6946.95</v>
      </c>
      <c r="G36" s="295">
        <f>G35-F36</f>
        <v>333.16000000000622</v>
      </c>
      <c r="H36" s="62">
        <f t="shared" si="3"/>
        <v>87684.44</v>
      </c>
      <c r="I36" s="251">
        <f>I35-H36</f>
        <v>122829.22999999998</v>
      </c>
      <c r="J36" s="62">
        <v>126514.11</v>
      </c>
    </row>
    <row r="37" spans="3:12" x14ac:dyDescent="0.25">
      <c r="C37" s="1">
        <v>8</v>
      </c>
      <c r="D37" s="11">
        <v>44698</v>
      </c>
      <c r="E37" s="62">
        <v>123162.39</v>
      </c>
      <c r="F37" s="62">
        <v>333.16</v>
      </c>
      <c r="G37" s="295">
        <f t="shared" si="0"/>
        <v>6.1959326558280736E-12</v>
      </c>
      <c r="H37" s="62">
        <f t="shared" si="3"/>
        <v>122829.23</v>
      </c>
      <c r="I37" s="251">
        <f t="shared" si="1"/>
        <v>0</v>
      </c>
      <c r="J37" s="62">
        <v>1</v>
      </c>
      <c r="K37" t="s">
        <v>214</v>
      </c>
    </row>
    <row r="38" spans="3:12" x14ac:dyDescent="0.25">
      <c r="C38" s="1"/>
      <c r="D38" s="13"/>
      <c r="E38" s="12"/>
      <c r="F38" s="12"/>
      <c r="G38" s="12"/>
      <c r="H38" s="12"/>
      <c r="I38" s="12"/>
      <c r="J38" s="12"/>
      <c r="K38" s="60"/>
    </row>
    <row r="39" spans="3:12" x14ac:dyDescent="0.25">
      <c r="C39" s="1" t="s">
        <v>18</v>
      </c>
      <c r="E39" s="14">
        <f>SUM(E30:E37)</f>
        <v>785582.12</v>
      </c>
      <c r="F39" s="14">
        <f>SUM(F30:F37)</f>
        <v>104752.12</v>
      </c>
      <c r="G39" s="14"/>
      <c r="H39" s="14">
        <f>SUM(H30:H37)</f>
        <v>680830</v>
      </c>
      <c r="I39" s="14"/>
    </row>
  </sheetData>
  <mergeCells count="7">
    <mergeCell ref="B23:C23"/>
    <mergeCell ref="C25:J25"/>
    <mergeCell ref="C1:J1"/>
    <mergeCell ref="C2:J2"/>
    <mergeCell ref="A3:J3"/>
    <mergeCell ref="B14:C14"/>
    <mergeCell ref="B16:C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DE52-910C-4D41-8D41-BBA7DCB53628}">
  <dimension ref="A1:K41"/>
  <sheetViews>
    <sheetView topLeftCell="A9" workbookViewId="0">
      <selection activeCell="I35" sqref="I35"/>
    </sheetView>
  </sheetViews>
  <sheetFormatPr defaultRowHeight="15" x14ac:dyDescent="0.25"/>
  <cols>
    <col min="1" max="1" width="15" customWidth="1"/>
    <col min="2" max="2" width="13.57031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20.85546875" bestFit="1" customWidth="1"/>
    <col min="9" max="9" width="16.140625" bestFit="1" customWidth="1"/>
    <col min="10" max="10" width="9.7109375" bestFit="1" customWidth="1"/>
    <col min="11" max="11" width="18.140625" bestFit="1" customWidth="1"/>
  </cols>
  <sheetData>
    <row r="1" spans="1:10" ht="21" x14ac:dyDescent="0.35">
      <c r="A1" s="33" t="s">
        <v>89</v>
      </c>
      <c r="B1" s="33"/>
      <c r="C1" s="33"/>
      <c r="D1" s="33" t="s">
        <v>98</v>
      </c>
      <c r="E1" s="33"/>
      <c r="F1" s="33"/>
      <c r="G1" s="33"/>
      <c r="J1" s="1"/>
    </row>
    <row r="2" spans="1:10" x14ac:dyDescent="0.25">
      <c r="C2" s="3"/>
      <c r="D2" s="3"/>
      <c r="E2" s="3"/>
      <c r="F2" s="3"/>
      <c r="G2" s="3"/>
      <c r="H2" s="3"/>
      <c r="J2" s="1"/>
    </row>
    <row r="3" spans="1:10" ht="15.75" x14ac:dyDescent="0.25">
      <c r="A3" s="34" t="s">
        <v>63</v>
      </c>
      <c r="B3" s="34"/>
      <c r="C3" s="34"/>
      <c r="D3" s="34"/>
      <c r="E3" s="34"/>
      <c r="F3" s="34"/>
      <c r="G3" s="34"/>
      <c r="H3" s="34"/>
      <c r="J3" s="1"/>
    </row>
    <row r="4" spans="1:10" x14ac:dyDescent="0.25">
      <c r="C4" s="3"/>
      <c r="D4" s="3"/>
      <c r="E4" s="3"/>
      <c r="F4" s="3"/>
      <c r="G4" s="3"/>
      <c r="H4" s="3"/>
      <c r="J4" s="1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J5" s="1"/>
    </row>
    <row r="6" spans="1:10" x14ac:dyDescent="0.25">
      <c r="C6" s="3"/>
      <c r="D6" s="3"/>
      <c r="E6" s="3"/>
      <c r="F6" s="3"/>
      <c r="G6" s="3"/>
      <c r="H6" s="3"/>
      <c r="J6" s="1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J7" s="1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J8" s="1"/>
    </row>
    <row r="9" spans="1:10" x14ac:dyDescent="0.25">
      <c r="A9" s="3" t="s">
        <v>67</v>
      </c>
      <c r="B9" s="3"/>
      <c r="C9" s="3"/>
      <c r="D9" s="3"/>
      <c r="E9" s="3"/>
      <c r="F9" s="3"/>
      <c r="G9" s="3"/>
      <c r="H9" s="3"/>
      <c r="J9" s="1"/>
    </row>
    <row r="10" spans="1:10" x14ac:dyDescent="0.25">
      <c r="A10" t="s">
        <v>95</v>
      </c>
      <c r="B10" s="3"/>
      <c r="C10" s="3"/>
      <c r="D10" s="3"/>
      <c r="E10" s="3"/>
      <c r="F10" s="3"/>
      <c r="G10" s="3"/>
      <c r="H10" s="3"/>
      <c r="J10" s="1"/>
    </row>
    <row r="11" spans="1:10" x14ac:dyDescent="0.25">
      <c r="A11" t="s">
        <v>96</v>
      </c>
      <c r="B11" s="3"/>
      <c r="C11" s="3"/>
      <c r="D11" s="3"/>
      <c r="E11" s="3"/>
      <c r="F11" s="3"/>
      <c r="G11" s="3"/>
      <c r="H11" s="3"/>
      <c r="J11" s="1"/>
    </row>
    <row r="12" spans="1:10" x14ac:dyDescent="0.25">
      <c r="C12" s="3"/>
      <c r="D12" s="3"/>
      <c r="E12" s="3"/>
      <c r="F12" s="3"/>
      <c r="G12" s="3"/>
      <c r="H12" s="3"/>
      <c r="J12" s="1"/>
    </row>
    <row r="13" spans="1:10" ht="15.75" x14ac:dyDescent="0.25">
      <c r="A13" s="34" t="s">
        <v>69</v>
      </c>
      <c r="B13" s="34"/>
      <c r="C13" s="34"/>
      <c r="D13" s="34"/>
      <c r="E13" s="34"/>
      <c r="F13" s="34"/>
      <c r="G13" s="34"/>
      <c r="H13" s="34"/>
      <c r="J13" s="1"/>
    </row>
    <row r="14" spans="1:10" x14ac:dyDescent="0.25">
      <c r="B14" t="s">
        <v>70</v>
      </c>
      <c r="D14" s="3"/>
      <c r="E14" s="3"/>
      <c r="H14" s="253">
        <v>42325</v>
      </c>
      <c r="J14" s="1"/>
    </row>
    <row r="15" spans="1:10" x14ac:dyDescent="0.25">
      <c r="J15" s="1"/>
    </row>
    <row r="16" spans="1:10" x14ac:dyDescent="0.25">
      <c r="B16" t="s">
        <v>71</v>
      </c>
      <c r="J16" s="1"/>
    </row>
    <row r="17" spans="1:11" x14ac:dyDescent="0.25">
      <c r="B17" t="s">
        <v>72</v>
      </c>
      <c r="C17" t="s">
        <v>73</v>
      </c>
      <c r="H17" s="36">
        <v>1137954.4099999999</v>
      </c>
      <c r="J17" s="1"/>
    </row>
    <row r="18" spans="1:11" x14ac:dyDescent="0.25">
      <c r="B18" t="s">
        <v>74</v>
      </c>
      <c r="C18" t="s">
        <v>75</v>
      </c>
      <c r="H18" s="36">
        <v>0</v>
      </c>
      <c r="J18" s="1"/>
    </row>
    <row r="19" spans="1:11" x14ac:dyDescent="0.25">
      <c r="C19" t="s">
        <v>76</v>
      </c>
      <c r="H19" s="36">
        <v>0</v>
      </c>
      <c r="J19" s="1"/>
    </row>
    <row r="20" spans="1:11" x14ac:dyDescent="0.25">
      <c r="C20" t="s">
        <v>77</v>
      </c>
      <c r="H20" s="36">
        <v>0</v>
      </c>
      <c r="J20" s="1"/>
    </row>
    <row r="21" spans="1:11" ht="15" customHeight="1" x14ac:dyDescent="0.25">
      <c r="B21" t="s">
        <v>78</v>
      </c>
      <c r="C21" s="47" t="s">
        <v>79</v>
      </c>
      <c r="D21" s="47"/>
      <c r="E21" s="47"/>
      <c r="F21" s="47"/>
      <c r="G21" s="47"/>
      <c r="H21" s="36">
        <f>H17-H18-H19-H20</f>
        <v>1137954.4099999999</v>
      </c>
      <c r="J21" s="1"/>
    </row>
    <row r="22" spans="1:11" x14ac:dyDescent="0.25">
      <c r="J22" s="1"/>
    </row>
    <row r="23" spans="1:11" x14ac:dyDescent="0.25">
      <c r="B23" t="s">
        <v>80</v>
      </c>
      <c r="J23" s="1"/>
    </row>
    <row r="24" spans="1:11" x14ac:dyDescent="0.25">
      <c r="C24" s="38"/>
      <c r="D24" s="38"/>
      <c r="E24" s="38"/>
      <c r="F24" s="38"/>
      <c r="G24" s="38"/>
      <c r="H24" s="38"/>
      <c r="J24" s="1"/>
    </row>
    <row r="25" spans="1:11" x14ac:dyDescent="0.25">
      <c r="A25" t="s">
        <v>81</v>
      </c>
      <c r="B25" s="35">
        <f>H14</f>
        <v>42325</v>
      </c>
      <c r="C25" s="35"/>
      <c r="D25" s="39"/>
      <c r="E25" s="39"/>
      <c r="F25" s="39"/>
      <c r="G25" s="39"/>
      <c r="H25" s="39"/>
      <c r="J25" s="1"/>
    </row>
    <row r="26" spans="1:11" x14ac:dyDescent="0.25">
      <c r="J26" s="1"/>
    </row>
    <row r="27" spans="1:11" x14ac:dyDescent="0.25">
      <c r="A27" s="254" t="s">
        <v>82</v>
      </c>
      <c r="B27" s="254" t="s">
        <v>82</v>
      </c>
      <c r="C27" s="254" t="s">
        <v>82</v>
      </c>
      <c r="D27" s="254" t="s">
        <v>4</v>
      </c>
      <c r="E27" s="255" t="s">
        <v>4</v>
      </c>
      <c r="F27" s="254" t="s">
        <v>3</v>
      </c>
      <c r="G27" s="255" t="s">
        <v>3</v>
      </c>
      <c r="H27" s="254" t="s">
        <v>83</v>
      </c>
      <c r="I27" s="63"/>
      <c r="J27" s="63"/>
      <c r="K27" s="63"/>
    </row>
    <row r="28" spans="1:11" x14ac:dyDescent="0.25">
      <c r="A28" s="254" t="s">
        <v>84</v>
      </c>
      <c r="B28" s="254" t="s">
        <v>31</v>
      </c>
      <c r="C28" s="254" t="s">
        <v>85</v>
      </c>
      <c r="D28" s="254" t="s">
        <v>86</v>
      </c>
      <c r="E28" s="255" t="s">
        <v>29</v>
      </c>
      <c r="F28" s="254" t="s">
        <v>86</v>
      </c>
      <c r="G28" s="255" t="s">
        <v>29</v>
      </c>
      <c r="H28" s="254" t="s">
        <v>87</v>
      </c>
      <c r="I28" s="64"/>
      <c r="J28" s="63"/>
      <c r="K28" s="64"/>
    </row>
    <row r="29" spans="1:11" x14ac:dyDescent="0.25">
      <c r="A29" s="254"/>
      <c r="B29" s="46">
        <v>42325</v>
      </c>
      <c r="C29" s="298"/>
      <c r="D29" s="298"/>
      <c r="E29" s="297">
        <v>194932.69</v>
      </c>
      <c r="F29" s="298"/>
      <c r="G29" s="299">
        <f>H21</f>
        <v>1137954.4099999999</v>
      </c>
      <c r="H29" s="296"/>
      <c r="I29" s="64"/>
      <c r="J29" s="63"/>
      <c r="K29" s="64"/>
    </row>
    <row r="30" spans="1:11" x14ac:dyDescent="0.25">
      <c r="A30" s="63">
        <v>1</v>
      </c>
      <c r="B30" s="65">
        <v>42691</v>
      </c>
      <c r="C30" s="298">
        <v>140396.78</v>
      </c>
      <c r="D30" s="298">
        <v>38690.449999999997</v>
      </c>
      <c r="E30" s="297">
        <f>E29-D30</f>
        <v>156242.23999999999</v>
      </c>
      <c r="F30" s="298">
        <f>C30-D30</f>
        <v>101706.33</v>
      </c>
      <c r="G30" s="299">
        <f>G29-F30</f>
        <v>1036248.08</v>
      </c>
      <c r="H30" s="298">
        <v>1067335.52</v>
      </c>
      <c r="J30" s="63"/>
      <c r="K30" s="66"/>
    </row>
    <row r="31" spans="1:11" x14ac:dyDescent="0.25">
      <c r="A31" s="63">
        <v>2</v>
      </c>
      <c r="B31" s="65">
        <v>43056</v>
      </c>
      <c r="C31" s="298">
        <f>C30</f>
        <v>140396.78</v>
      </c>
      <c r="D31" s="298">
        <v>35232.43</v>
      </c>
      <c r="E31" s="297">
        <f>E30-D31</f>
        <v>121009.81</v>
      </c>
      <c r="F31" s="298">
        <f>C31-D31</f>
        <v>105164.35</v>
      </c>
      <c r="G31" s="299">
        <f>G30-F31</f>
        <v>931083.73</v>
      </c>
      <c r="H31" s="298">
        <v>959016.24</v>
      </c>
      <c r="J31" s="67"/>
      <c r="K31" s="66"/>
    </row>
    <row r="32" spans="1:11" x14ac:dyDescent="0.25">
      <c r="A32" s="63">
        <v>3</v>
      </c>
      <c r="B32" s="65">
        <v>43421</v>
      </c>
      <c r="C32" s="298">
        <f t="shared" ref="C32:C34" si="0">C31</f>
        <v>140396.78</v>
      </c>
      <c r="D32" s="298">
        <v>31656.85</v>
      </c>
      <c r="E32" s="297">
        <f t="shared" ref="E32:E34" si="1">E31-D32</f>
        <v>89352.959999999992</v>
      </c>
      <c r="F32" s="298">
        <f t="shared" ref="F32:F38" si="2">C32-D32</f>
        <v>108739.93</v>
      </c>
      <c r="G32" s="299">
        <f t="shared" ref="G32:G34" si="3">G31-F32</f>
        <v>822343.8</v>
      </c>
      <c r="H32" s="298">
        <v>847014.11</v>
      </c>
      <c r="J32" s="67"/>
      <c r="K32" s="66"/>
    </row>
    <row r="33" spans="1:11" x14ac:dyDescent="0.25">
      <c r="A33" s="63">
        <v>4</v>
      </c>
      <c r="B33" s="65">
        <v>43786</v>
      </c>
      <c r="C33" s="298">
        <f t="shared" si="0"/>
        <v>140396.78</v>
      </c>
      <c r="D33" s="298">
        <v>27959.69</v>
      </c>
      <c r="E33" s="297">
        <f t="shared" si="1"/>
        <v>61393.26999999999</v>
      </c>
      <c r="F33" s="298">
        <f t="shared" si="2"/>
        <v>112437.09</v>
      </c>
      <c r="G33" s="299">
        <f t="shared" si="3"/>
        <v>709906.71000000008</v>
      </c>
      <c r="H33" s="298">
        <v>731203.91</v>
      </c>
      <c r="J33" s="63"/>
      <c r="K33" s="66"/>
    </row>
    <row r="34" spans="1:11" x14ac:dyDescent="0.25">
      <c r="A34" s="63">
        <v>5</v>
      </c>
      <c r="B34" s="65">
        <v>44152</v>
      </c>
      <c r="C34" s="298">
        <f t="shared" si="0"/>
        <v>140396.78</v>
      </c>
      <c r="D34" s="298">
        <v>24136.83</v>
      </c>
      <c r="E34" s="297">
        <f t="shared" si="1"/>
        <v>37256.439999999988</v>
      </c>
      <c r="F34" s="298">
        <f t="shared" si="2"/>
        <v>116259.95</v>
      </c>
      <c r="G34" s="299">
        <f t="shared" si="3"/>
        <v>593646.76000000013</v>
      </c>
      <c r="H34" s="298">
        <v>611456.16</v>
      </c>
      <c r="J34" s="63"/>
      <c r="K34" s="66"/>
    </row>
    <row r="35" spans="1:11" x14ac:dyDescent="0.25">
      <c r="A35" s="63" t="s">
        <v>212</v>
      </c>
      <c r="B35" s="65">
        <v>44420</v>
      </c>
      <c r="C35" s="298">
        <v>628033.77</v>
      </c>
      <c r="D35" s="298">
        <v>34387.01</v>
      </c>
      <c r="E35" s="297">
        <v>0</v>
      </c>
      <c r="F35" s="298">
        <v>593646.76</v>
      </c>
      <c r="G35" s="299">
        <f>G34-F35</f>
        <v>0</v>
      </c>
      <c r="H35" s="298"/>
      <c r="I35" t="s">
        <v>213</v>
      </c>
      <c r="J35" s="63"/>
      <c r="K35" s="66"/>
    </row>
    <row r="36" spans="1:11" x14ac:dyDescent="0.25">
      <c r="A36" s="63">
        <v>6</v>
      </c>
      <c r="B36" s="65">
        <v>44517</v>
      </c>
      <c r="C36" s="298"/>
      <c r="D36" s="298"/>
      <c r="E36" s="297"/>
      <c r="F36" s="298"/>
      <c r="G36" s="299"/>
      <c r="H36" s="298"/>
      <c r="J36" s="63"/>
      <c r="K36" s="66"/>
    </row>
    <row r="37" spans="1:11" x14ac:dyDescent="0.25">
      <c r="A37" s="63">
        <v>7</v>
      </c>
      <c r="B37" s="65">
        <v>44882</v>
      </c>
      <c r="C37" s="298"/>
      <c r="D37" s="298"/>
      <c r="E37" s="297"/>
      <c r="F37" s="298"/>
      <c r="G37" s="299"/>
      <c r="H37" s="298"/>
      <c r="J37" s="63"/>
      <c r="K37" s="66"/>
    </row>
    <row r="38" spans="1:11" x14ac:dyDescent="0.25">
      <c r="A38" s="63">
        <v>8</v>
      </c>
      <c r="B38" s="65">
        <v>44912</v>
      </c>
      <c r="C38" s="298"/>
      <c r="D38" s="298"/>
      <c r="E38" s="297"/>
      <c r="F38" s="298"/>
      <c r="G38" s="299"/>
      <c r="H38" s="298"/>
      <c r="J38" s="63"/>
      <c r="K38" s="66"/>
    </row>
    <row r="39" spans="1:11" x14ac:dyDescent="0.25">
      <c r="A39" s="63"/>
      <c r="B39" s="67"/>
      <c r="C39" s="298"/>
      <c r="D39" s="298"/>
      <c r="E39" s="298"/>
      <c r="F39" s="298"/>
      <c r="G39" s="298"/>
      <c r="H39" s="298"/>
      <c r="I39" s="68"/>
      <c r="J39" s="63"/>
      <c r="K39" s="68"/>
    </row>
    <row r="40" spans="1:11" x14ac:dyDescent="0.25">
      <c r="A40" s="63" t="s">
        <v>18</v>
      </c>
      <c r="B40" s="68"/>
      <c r="C40" s="300">
        <f>SUM(C30:C38)</f>
        <v>1330017.67</v>
      </c>
      <c r="D40" s="300">
        <f>SUM(D30:D38)</f>
        <v>192063.26</v>
      </c>
      <c r="E40" s="300"/>
      <c r="F40" s="300">
        <f>SUM(F30:F38)</f>
        <v>1137954.4099999999</v>
      </c>
      <c r="G40" s="300"/>
      <c r="H40" s="300"/>
      <c r="I40" s="68"/>
      <c r="J40" s="63"/>
      <c r="K40" s="68"/>
    </row>
    <row r="41" spans="1:1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</row>
  </sheetData>
  <mergeCells count="1">
    <mergeCell ref="B25:C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8660-0118-4F34-BA57-4E232E118145}">
  <dimension ref="A1:K35"/>
  <sheetViews>
    <sheetView topLeftCell="A9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3.140625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111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109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110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4" t="s">
        <v>69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B13" s="50" t="s">
        <v>70</v>
      </c>
      <c r="C13" s="50"/>
      <c r="D13" s="3"/>
      <c r="E13" s="3"/>
      <c r="F13" s="3"/>
      <c r="G13" s="39">
        <v>42468</v>
      </c>
      <c r="H13" s="3"/>
      <c r="I13" s="3"/>
    </row>
    <row r="15" spans="1:10" x14ac:dyDescent="0.25">
      <c r="B15" s="50" t="s">
        <v>71</v>
      </c>
      <c r="C15" s="50"/>
    </row>
    <row r="16" spans="1:10" x14ac:dyDescent="0.25">
      <c r="B16" t="s">
        <v>72</v>
      </c>
      <c r="C16" t="s">
        <v>73</v>
      </c>
      <c r="G16" s="36">
        <v>433032</v>
      </c>
    </row>
    <row r="17" spans="1:11" x14ac:dyDescent="0.25">
      <c r="B17" t="s">
        <v>74</v>
      </c>
      <c r="C17" t="s">
        <v>75</v>
      </c>
      <c r="G17" s="36">
        <v>0</v>
      </c>
    </row>
    <row r="18" spans="1:11" x14ac:dyDescent="0.25">
      <c r="C18" t="s">
        <v>76</v>
      </c>
      <c r="G18" s="36">
        <v>0</v>
      </c>
    </row>
    <row r="19" spans="1:11" x14ac:dyDescent="0.25">
      <c r="C19" t="s">
        <v>77</v>
      </c>
      <c r="G19" s="36">
        <v>0</v>
      </c>
    </row>
    <row r="20" spans="1:11" ht="15" customHeight="1" x14ac:dyDescent="0.25">
      <c r="B20" t="s">
        <v>78</v>
      </c>
      <c r="C20" s="47" t="s">
        <v>79</v>
      </c>
      <c r="D20" s="47"/>
      <c r="G20" s="36">
        <f>G16-G17-G18-G19</f>
        <v>433032</v>
      </c>
    </row>
    <row r="22" spans="1:11" x14ac:dyDescent="0.25">
      <c r="B22" s="50" t="s">
        <v>92</v>
      </c>
      <c r="C22" s="50"/>
    </row>
    <row r="23" spans="1:11" x14ac:dyDescent="0.25">
      <c r="C23" s="38"/>
      <c r="D23" s="38"/>
      <c r="E23" s="38"/>
      <c r="F23" s="38"/>
      <c r="G23" s="38"/>
      <c r="H23" s="38"/>
      <c r="I23" s="38"/>
      <c r="J23" s="38"/>
    </row>
    <row r="24" spans="1:11" x14ac:dyDescent="0.25">
      <c r="A24" t="s">
        <v>81</v>
      </c>
      <c r="C24" s="52">
        <f>G13</f>
        <v>42468</v>
      </c>
      <c r="D24" s="52"/>
      <c r="E24" s="52"/>
      <c r="F24" s="52"/>
      <c r="G24" s="52"/>
      <c r="H24" s="52"/>
      <c r="I24" s="52"/>
      <c r="J24" s="52"/>
    </row>
    <row r="26" spans="1:11" x14ac:dyDescent="0.25">
      <c r="A26" s="1"/>
      <c r="B26" s="1"/>
      <c r="C26" s="252" t="s">
        <v>82</v>
      </c>
      <c r="D26" s="252" t="s">
        <v>82</v>
      </c>
      <c r="E26" s="252" t="s">
        <v>82</v>
      </c>
      <c r="F26" s="252" t="s">
        <v>4</v>
      </c>
      <c r="G26" s="250" t="s">
        <v>4</v>
      </c>
      <c r="H26" s="252" t="s">
        <v>3</v>
      </c>
      <c r="I26" s="250" t="s">
        <v>3</v>
      </c>
      <c r="J26" s="252" t="s">
        <v>83</v>
      </c>
      <c r="K26" s="3"/>
    </row>
    <row r="27" spans="1:11" x14ac:dyDescent="0.25">
      <c r="A27" s="1"/>
      <c r="B27" s="1"/>
      <c r="C27" s="252" t="s">
        <v>84</v>
      </c>
      <c r="D27" s="252" t="s">
        <v>31</v>
      </c>
      <c r="E27" s="252" t="s">
        <v>85</v>
      </c>
      <c r="F27" s="252" t="s">
        <v>86</v>
      </c>
      <c r="G27" s="250" t="s">
        <v>29</v>
      </c>
      <c r="H27" s="252" t="s">
        <v>86</v>
      </c>
      <c r="I27" s="250" t="s">
        <v>29</v>
      </c>
      <c r="J27" s="252" t="s">
        <v>87</v>
      </c>
    </row>
    <row r="28" spans="1:11" s="40" customFormat="1" x14ac:dyDescent="0.25">
      <c r="A28" s="25"/>
      <c r="B28" s="25"/>
      <c r="C28" s="25"/>
      <c r="D28" s="302">
        <v>42468</v>
      </c>
      <c r="E28" s="62"/>
      <c r="F28" s="62"/>
      <c r="G28" s="295">
        <v>37721.050000000003</v>
      </c>
      <c r="H28" s="62"/>
      <c r="I28" s="295">
        <v>433032</v>
      </c>
      <c r="J28" s="62"/>
    </row>
    <row r="29" spans="1:11" x14ac:dyDescent="0.25">
      <c r="C29" s="1">
        <v>1</v>
      </c>
      <c r="D29" s="11">
        <v>42833</v>
      </c>
      <c r="E29" s="62">
        <v>94150.61</v>
      </c>
      <c r="F29" s="62">
        <v>12342.51</v>
      </c>
      <c r="G29" s="295">
        <f>G28-F29</f>
        <v>25378.54</v>
      </c>
      <c r="H29" s="62">
        <f>E29-F29</f>
        <v>81808.100000000006</v>
      </c>
      <c r="I29" s="251">
        <f>I28-H29</f>
        <v>351223.9</v>
      </c>
      <c r="J29" s="62">
        <v>361760.62</v>
      </c>
    </row>
    <row r="30" spans="1:11" x14ac:dyDescent="0.25">
      <c r="C30" s="1">
        <v>2</v>
      </c>
      <c r="D30" s="11">
        <v>43198</v>
      </c>
      <c r="E30" s="62">
        <f>E29</f>
        <v>94150.61</v>
      </c>
      <c r="F30" s="62">
        <v>10010.77</v>
      </c>
      <c r="G30" s="295">
        <f>G29-F30</f>
        <v>15367.77</v>
      </c>
      <c r="H30" s="62">
        <f>E30-F30</f>
        <v>84139.839999999997</v>
      </c>
      <c r="I30" s="251">
        <f>I29-H30</f>
        <v>267084.06000000006</v>
      </c>
      <c r="J30" s="62">
        <v>275096.58</v>
      </c>
    </row>
    <row r="31" spans="1:11" x14ac:dyDescent="0.25">
      <c r="C31" s="1">
        <v>3</v>
      </c>
      <c r="D31" s="11">
        <v>43563</v>
      </c>
      <c r="E31" s="62">
        <f t="shared" ref="E31:E33" si="0">E30</f>
        <v>94150.61</v>
      </c>
      <c r="F31" s="62">
        <v>7612.57</v>
      </c>
      <c r="G31" s="295">
        <f>G30-F31</f>
        <v>7755.2000000000007</v>
      </c>
      <c r="H31" s="62">
        <f t="shared" ref="H31" si="1">E31-F31</f>
        <v>86538.040000000008</v>
      </c>
      <c r="I31" s="251">
        <f>I30-H31</f>
        <v>180546.02000000005</v>
      </c>
      <c r="J31" s="62">
        <v>185962.4</v>
      </c>
    </row>
    <row r="32" spans="1:11" x14ac:dyDescent="0.25">
      <c r="C32" s="1">
        <v>4</v>
      </c>
      <c r="D32" s="11">
        <v>43929</v>
      </c>
      <c r="E32" s="62">
        <f t="shared" si="0"/>
        <v>94150.61</v>
      </c>
      <c r="F32" s="62">
        <v>5146.0200000000004</v>
      </c>
      <c r="G32" s="295">
        <f>G31-F32</f>
        <v>2609.1800000000003</v>
      </c>
      <c r="H32" s="62">
        <f>E32-F32</f>
        <v>89004.59</v>
      </c>
      <c r="I32" s="251">
        <f>I31-H32</f>
        <v>91541.430000000051</v>
      </c>
      <c r="J32" s="62">
        <v>94287.67</v>
      </c>
    </row>
    <row r="33" spans="3:11" x14ac:dyDescent="0.25">
      <c r="C33" s="1">
        <v>5</v>
      </c>
      <c r="D33" s="11">
        <v>44294</v>
      </c>
      <c r="E33" s="62">
        <f t="shared" si="0"/>
        <v>94150.61</v>
      </c>
      <c r="F33" s="62">
        <v>2609.1799999999998</v>
      </c>
      <c r="G33" s="295">
        <f>G32-F33</f>
        <v>0</v>
      </c>
      <c r="H33" s="62">
        <f>E33-F33</f>
        <v>91541.430000000008</v>
      </c>
      <c r="I33" s="251">
        <f>I32-H33</f>
        <v>0</v>
      </c>
      <c r="J33" s="62">
        <v>1</v>
      </c>
      <c r="K33" t="s">
        <v>215</v>
      </c>
    </row>
    <row r="34" spans="3:11" x14ac:dyDescent="0.25">
      <c r="C34" s="1"/>
      <c r="D34" s="13"/>
      <c r="E34" s="62"/>
      <c r="F34" s="62"/>
      <c r="G34" s="62"/>
      <c r="H34" s="62"/>
      <c r="I34" s="62"/>
      <c r="J34" s="62"/>
    </row>
    <row r="35" spans="3:11" x14ac:dyDescent="0.25">
      <c r="C35" s="1" t="s">
        <v>18</v>
      </c>
      <c r="E35" s="60">
        <f>SUM(E29:E33)</f>
        <v>470753.05</v>
      </c>
      <c r="F35" s="60">
        <f>SUM(F29:F33)</f>
        <v>37721.049999999996</v>
      </c>
      <c r="G35" s="60"/>
      <c r="H35" s="60">
        <f t="shared" ref="H35" si="2">SUM(H29:H33)</f>
        <v>433032</v>
      </c>
      <c r="I35" s="60"/>
      <c r="J35" s="60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DB2D-5299-4C05-8D58-568EF2E51A4F}">
  <dimension ref="A1:J33"/>
  <sheetViews>
    <sheetView topLeftCell="A6" workbookViewId="0">
      <selection activeCell="I32" sqref="I32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8.140625" bestFit="1" customWidth="1"/>
    <col min="8" max="8" width="15.85546875" bestFit="1" customWidth="1"/>
    <col min="9" max="9" width="15.85546875" customWidth="1"/>
    <col min="10" max="10" width="19.42578125" bestFit="1" customWidth="1"/>
    <col min="11" max="11" width="12.7109375" bestFit="1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112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162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34" t="s">
        <v>69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B12" s="50" t="s">
        <v>70</v>
      </c>
      <c r="C12" s="50"/>
      <c r="D12" s="3"/>
      <c r="E12" s="3"/>
      <c r="F12" s="3"/>
      <c r="G12" s="39">
        <v>42689</v>
      </c>
      <c r="H12" s="3"/>
      <c r="I12" s="3"/>
    </row>
    <row r="14" spans="1:10" x14ac:dyDescent="0.25">
      <c r="B14" s="50" t="s">
        <v>71</v>
      </c>
      <c r="C14" s="50"/>
    </row>
    <row r="15" spans="1:10" x14ac:dyDescent="0.25">
      <c r="B15" t="s">
        <v>72</v>
      </c>
      <c r="C15" t="s">
        <v>73</v>
      </c>
      <c r="G15" s="36">
        <v>258710</v>
      </c>
    </row>
    <row r="16" spans="1:10" x14ac:dyDescent="0.25">
      <c r="B16" t="s">
        <v>74</v>
      </c>
      <c r="C16" t="s">
        <v>75</v>
      </c>
      <c r="G16" s="36">
        <v>0</v>
      </c>
    </row>
    <row r="17" spans="1:10" x14ac:dyDescent="0.25">
      <c r="C17" t="s">
        <v>76</v>
      </c>
      <c r="G17" s="36">
        <v>0</v>
      </c>
    </row>
    <row r="18" spans="1:10" x14ac:dyDescent="0.25">
      <c r="C18" t="s">
        <v>77</v>
      </c>
      <c r="G18" s="36">
        <v>0</v>
      </c>
    </row>
    <row r="19" spans="1:10" ht="15" customHeight="1" x14ac:dyDescent="0.25">
      <c r="B19" t="s">
        <v>78</v>
      </c>
      <c r="C19" s="47" t="s">
        <v>79</v>
      </c>
      <c r="D19" s="47"/>
      <c r="G19" s="36">
        <f>G15-G16-G17-G18</f>
        <v>258710</v>
      </c>
    </row>
    <row r="21" spans="1:10" x14ac:dyDescent="0.25">
      <c r="B21" s="50" t="s">
        <v>92</v>
      </c>
      <c r="C21" s="50"/>
    </row>
    <row r="22" spans="1:10" x14ac:dyDescent="0.25"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t="s">
        <v>81</v>
      </c>
      <c r="C23" s="52">
        <f>G12</f>
        <v>42689</v>
      </c>
      <c r="D23" s="52"/>
      <c r="E23" s="52"/>
      <c r="F23" s="52"/>
      <c r="G23" s="52"/>
      <c r="H23" s="52"/>
      <c r="I23" s="52"/>
      <c r="J23" s="52"/>
    </row>
    <row r="25" spans="1:10" x14ac:dyDescent="0.25">
      <c r="A25" s="1"/>
      <c r="B25" s="1"/>
      <c r="C25" s="252" t="s">
        <v>82</v>
      </c>
      <c r="D25" s="252" t="s">
        <v>82</v>
      </c>
      <c r="E25" s="252" t="s">
        <v>82</v>
      </c>
      <c r="F25" s="252" t="s">
        <v>4</v>
      </c>
      <c r="G25" s="250" t="s">
        <v>4</v>
      </c>
      <c r="H25" s="252" t="s">
        <v>3</v>
      </c>
      <c r="I25" s="250" t="s">
        <v>3</v>
      </c>
      <c r="J25" s="252" t="s">
        <v>83</v>
      </c>
    </row>
    <row r="26" spans="1:10" x14ac:dyDescent="0.25">
      <c r="A26" s="1"/>
      <c r="B26" s="1"/>
      <c r="C26" s="252" t="s">
        <v>84</v>
      </c>
      <c r="D26" s="252" t="s">
        <v>31</v>
      </c>
      <c r="E26" s="252" t="s">
        <v>85</v>
      </c>
      <c r="F26" s="252" t="s">
        <v>86</v>
      </c>
      <c r="G26" s="250" t="s">
        <v>29</v>
      </c>
      <c r="H26" s="252" t="s">
        <v>86</v>
      </c>
      <c r="I26" s="250" t="s">
        <v>29</v>
      </c>
      <c r="J26" s="252" t="s">
        <v>87</v>
      </c>
    </row>
    <row r="27" spans="1:10" s="40" customFormat="1" x14ac:dyDescent="0.25">
      <c r="A27" s="25"/>
      <c r="B27" s="25"/>
      <c r="C27" s="25"/>
      <c r="D27" s="302">
        <v>42689</v>
      </c>
      <c r="E27" s="62"/>
      <c r="F27" s="62"/>
      <c r="G27" s="295">
        <v>13357.54</v>
      </c>
      <c r="H27" s="62"/>
      <c r="I27" s="295">
        <v>258710</v>
      </c>
      <c r="J27" s="62"/>
    </row>
    <row r="28" spans="1:10" x14ac:dyDescent="0.25">
      <c r="C28" s="1">
        <v>1</v>
      </c>
      <c r="D28" s="11">
        <v>43054</v>
      </c>
      <c r="E28" s="62">
        <v>90689.18</v>
      </c>
      <c r="F28" s="62">
        <v>6622.98</v>
      </c>
      <c r="G28" s="295">
        <f>G27-F28</f>
        <v>6734.5600000000013</v>
      </c>
      <c r="H28" s="62">
        <f>E28-F28</f>
        <v>84066.2</v>
      </c>
      <c r="I28" s="297">
        <f>I27-H28</f>
        <v>174643.8</v>
      </c>
      <c r="J28" s="62">
        <v>179883.11</v>
      </c>
    </row>
    <row r="29" spans="1:10" x14ac:dyDescent="0.25">
      <c r="C29" s="1">
        <v>2</v>
      </c>
      <c r="D29" s="11">
        <v>43419</v>
      </c>
      <c r="E29" s="62">
        <f>E28</f>
        <v>90689.18</v>
      </c>
      <c r="F29" s="62">
        <v>4470.88</v>
      </c>
      <c r="G29" s="295">
        <f t="shared" ref="G29:G30" si="0">G28-F29</f>
        <v>2263.6800000000012</v>
      </c>
      <c r="H29" s="62">
        <f>E29-F29</f>
        <v>86218.299999999988</v>
      </c>
      <c r="I29" s="297">
        <f t="shared" ref="I29:I30" si="1">I28-H29</f>
        <v>88425.5</v>
      </c>
      <c r="J29" s="62">
        <v>91078.27</v>
      </c>
    </row>
    <row r="30" spans="1:10" x14ac:dyDescent="0.25">
      <c r="C30" s="1">
        <v>3</v>
      </c>
      <c r="D30" s="11">
        <v>43784</v>
      </c>
      <c r="E30" s="62">
        <f t="shared" ref="E30" si="2">E29</f>
        <v>90689.18</v>
      </c>
      <c r="F30" s="62">
        <v>2263.6799999999998</v>
      </c>
      <c r="G30" s="295">
        <f t="shared" si="0"/>
        <v>0</v>
      </c>
      <c r="H30" s="62">
        <f t="shared" ref="H30" si="3">E30-F30</f>
        <v>88425.5</v>
      </c>
      <c r="I30" s="297">
        <f t="shared" si="1"/>
        <v>0</v>
      </c>
      <c r="J30" s="62">
        <v>1</v>
      </c>
    </row>
    <row r="31" spans="1:10" x14ac:dyDescent="0.25">
      <c r="C31" s="1"/>
      <c r="D31" s="13"/>
      <c r="E31" s="62"/>
      <c r="F31" s="62"/>
      <c r="G31" s="62"/>
      <c r="H31" s="62"/>
      <c r="I31" s="62"/>
      <c r="J31" s="62"/>
    </row>
    <row r="32" spans="1:10" x14ac:dyDescent="0.25">
      <c r="C32" s="1" t="s">
        <v>18</v>
      </c>
      <c r="E32" s="60">
        <f>SUM(E28:E30)</f>
        <v>272067.53999999998</v>
      </c>
      <c r="F32" s="60">
        <f>SUM(F28:F30)</f>
        <v>13357.54</v>
      </c>
      <c r="G32" s="60"/>
      <c r="H32" s="60">
        <f>SUM(H28:H30)</f>
        <v>258710</v>
      </c>
      <c r="I32" s="60"/>
      <c r="J32" s="60"/>
    </row>
    <row r="33" spans="5:10" x14ac:dyDescent="0.25">
      <c r="E33" s="60"/>
      <c r="F33" s="60"/>
      <c r="G33" s="60"/>
      <c r="H33" s="60"/>
      <c r="I33" s="60"/>
      <c r="J33" s="60"/>
    </row>
  </sheetData>
  <mergeCells count="7">
    <mergeCell ref="B21:C21"/>
    <mergeCell ref="C23:J23"/>
    <mergeCell ref="C1:J1"/>
    <mergeCell ref="C2:J2"/>
    <mergeCell ref="A3:J3"/>
    <mergeCell ref="B12:C12"/>
    <mergeCell ref="B14: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160B-BF36-4B58-9965-608A5A23C1AE}">
  <dimension ref="A1:N21"/>
  <sheetViews>
    <sheetView workbookViewId="0">
      <selection activeCell="E11" sqref="E11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4" width="11.85546875" customWidth="1"/>
  </cols>
  <sheetData>
    <row r="1" spans="1:14" x14ac:dyDescent="0.25">
      <c r="A1" s="2"/>
      <c r="B1" s="2"/>
      <c r="C1" s="2"/>
      <c r="D1" s="2"/>
      <c r="E1" s="2"/>
      <c r="F1" s="2"/>
      <c r="G1" s="2"/>
    </row>
    <row r="2" spans="1:14" x14ac:dyDescent="0.25">
      <c r="A2" s="2" t="s">
        <v>19</v>
      </c>
      <c r="B2" s="2"/>
      <c r="C2" s="2"/>
      <c r="D2" s="2"/>
      <c r="E2" s="2"/>
      <c r="F2" s="2"/>
      <c r="G2" s="2"/>
    </row>
    <row r="3" spans="1:14" x14ac:dyDescent="0.25">
      <c r="A3" s="2" t="s">
        <v>8</v>
      </c>
      <c r="B3" s="2"/>
      <c r="C3" s="2"/>
      <c r="D3" s="2"/>
      <c r="E3" s="2"/>
      <c r="F3" s="2"/>
      <c r="G3" s="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4" t="s">
        <v>9</v>
      </c>
      <c r="B5" s="4"/>
      <c r="C5" s="4"/>
      <c r="D5" s="4"/>
      <c r="E5" s="4"/>
      <c r="F5" s="4"/>
      <c r="G5" s="4"/>
    </row>
    <row r="6" spans="1:14" x14ac:dyDescent="0.25">
      <c r="A6" s="5" t="s">
        <v>10</v>
      </c>
      <c r="B6" s="5"/>
      <c r="C6" s="5"/>
      <c r="D6" s="5"/>
      <c r="E6" s="5"/>
      <c r="F6" s="5"/>
      <c r="G6" s="5"/>
    </row>
    <row r="7" spans="1:14" x14ac:dyDescent="0.25">
      <c r="A7" s="6" t="s">
        <v>11</v>
      </c>
      <c r="B7" s="6"/>
      <c r="C7" s="6"/>
      <c r="D7" s="6"/>
      <c r="E7" s="6"/>
      <c r="F7" s="6"/>
      <c r="G7" s="6"/>
    </row>
    <row r="8" spans="1:14" x14ac:dyDescent="0.25">
      <c r="A8" s="6" t="s">
        <v>12</v>
      </c>
      <c r="B8" s="6"/>
      <c r="C8" s="6"/>
      <c r="D8" s="6"/>
      <c r="E8" s="6"/>
      <c r="F8" s="6"/>
      <c r="G8" s="6"/>
    </row>
    <row r="10" spans="1:14" ht="45" x14ac:dyDescent="0.25">
      <c r="A10" s="38" t="s">
        <v>13</v>
      </c>
      <c r="B10" s="38" t="s">
        <v>14</v>
      </c>
      <c r="C10" s="38" t="s">
        <v>15</v>
      </c>
      <c r="D10" s="38" t="s">
        <v>16</v>
      </c>
      <c r="E10" s="249" t="s">
        <v>118</v>
      </c>
      <c r="F10" s="38" t="s">
        <v>17</v>
      </c>
      <c r="G10" s="250" t="s">
        <v>97</v>
      </c>
      <c r="I10" s="262" t="s">
        <v>208</v>
      </c>
      <c r="J10" s="256" t="s">
        <v>52</v>
      </c>
      <c r="K10" s="256" t="s">
        <v>206</v>
      </c>
      <c r="L10" s="257" t="s">
        <v>205</v>
      </c>
      <c r="M10" s="256" t="s">
        <v>207</v>
      </c>
      <c r="N10" s="257" t="s">
        <v>204</v>
      </c>
    </row>
    <row r="11" spans="1:14" x14ac:dyDescent="0.25">
      <c r="A11" s="8"/>
      <c r="B11" s="8"/>
      <c r="C11" s="9"/>
      <c r="D11" s="9"/>
      <c r="E11" s="246"/>
      <c r="F11" s="9"/>
      <c r="G11" s="248">
        <v>37116.14</v>
      </c>
    </row>
    <row r="12" spans="1:14" x14ac:dyDescent="0.25">
      <c r="A12" s="1">
        <v>1</v>
      </c>
      <c r="B12" s="11">
        <v>42397</v>
      </c>
      <c r="C12" s="12">
        <v>5154.28</v>
      </c>
      <c r="D12" s="12">
        <v>0</v>
      </c>
      <c r="E12" s="247">
        <f>D21-D12</f>
        <v>4118.0999999999995</v>
      </c>
      <c r="F12" s="12">
        <v>5154.28</v>
      </c>
      <c r="G12" s="247">
        <f>G11-F12</f>
        <v>31961.86</v>
      </c>
      <c r="I12" s="1" t="s">
        <v>56</v>
      </c>
      <c r="J12" s="14">
        <f>C12+C13</f>
        <v>10308.56</v>
      </c>
      <c r="K12" s="14">
        <f>D12+D13</f>
        <v>998.81</v>
      </c>
      <c r="L12" s="14">
        <f>E13</f>
        <v>3119.2899999999995</v>
      </c>
      <c r="M12" s="14">
        <f>F12+F13</f>
        <v>9309.75</v>
      </c>
      <c r="N12" s="14">
        <f>G13</f>
        <v>27806.39</v>
      </c>
    </row>
    <row r="13" spans="1:14" x14ac:dyDescent="0.25">
      <c r="A13" s="1">
        <v>2</v>
      </c>
      <c r="B13" s="11">
        <v>42579</v>
      </c>
      <c r="C13" s="12">
        <v>5154.28</v>
      </c>
      <c r="D13" s="12">
        <v>998.81</v>
      </c>
      <c r="E13" s="247">
        <f>E12-D13</f>
        <v>3119.2899999999995</v>
      </c>
      <c r="F13" s="12">
        <f>C13-D13</f>
        <v>4155.4699999999993</v>
      </c>
      <c r="G13" s="247">
        <f t="shared" ref="G13:G18" si="0">G12-F13</f>
        <v>27806.39</v>
      </c>
      <c r="I13" s="1" t="s">
        <v>57</v>
      </c>
      <c r="J13" s="14">
        <f>C14+C15</f>
        <v>10308.56</v>
      </c>
      <c r="K13" s="14">
        <f>D14+D15</f>
        <v>1603.98</v>
      </c>
      <c r="L13" s="14">
        <f>L12-K13</f>
        <v>1515.3099999999995</v>
      </c>
      <c r="M13" s="14">
        <f>F14+F15</f>
        <v>8704.58</v>
      </c>
      <c r="N13" s="14">
        <f>N12-M13</f>
        <v>19101.809999999998</v>
      </c>
    </row>
    <row r="14" spans="1:14" x14ac:dyDescent="0.25">
      <c r="A14" s="1">
        <v>3</v>
      </c>
      <c r="B14" s="11">
        <v>42763</v>
      </c>
      <c r="C14" s="12">
        <v>5154.28</v>
      </c>
      <c r="D14" s="12">
        <v>868.95</v>
      </c>
      <c r="E14" s="247">
        <f t="shared" ref="E14:E19" si="1">E13-D14</f>
        <v>2250.3399999999992</v>
      </c>
      <c r="F14" s="12">
        <f t="shared" ref="F14:F19" si="2">C14-D14</f>
        <v>4285.33</v>
      </c>
      <c r="G14" s="247">
        <f t="shared" si="0"/>
        <v>23521.059999999998</v>
      </c>
      <c r="I14" s="1" t="s">
        <v>58</v>
      </c>
      <c r="J14" s="14">
        <f>C16+C17</f>
        <v>10308.56</v>
      </c>
      <c r="K14" s="14">
        <f>D16+D17</f>
        <v>1051.44</v>
      </c>
      <c r="L14" s="14">
        <f>L13-K14</f>
        <v>463.86999999999944</v>
      </c>
      <c r="M14" s="14">
        <f>F16+F17</f>
        <v>9257.119999999999</v>
      </c>
      <c r="N14" s="14">
        <f>N13-M14</f>
        <v>9844.6899999999987</v>
      </c>
    </row>
    <row r="15" spans="1:14" x14ac:dyDescent="0.25">
      <c r="A15" s="1">
        <v>4</v>
      </c>
      <c r="B15" s="11">
        <v>42944</v>
      </c>
      <c r="C15" s="12">
        <v>5154.28</v>
      </c>
      <c r="D15" s="12">
        <v>735.03</v>
      </c>
      <c r="E15" s="247">
        <f t="shared" si="1"/>
        <v>1515.3099999999993</v>
      </c>
      <c r="F15" s="12">
        <f t="shared" si="2"/>
        <v>4419.25</v>
      </c>
      <c r="G15" s="247">
        <f t="shared" si="0"/>
        <v>19101.809999999998</v>
      </c>
      <c r="I15" s="1" t="s">
        <v>59</v>
      </c>
      <c r="J15" s="14">
        <f>C18+C19</f>
        <v>10308.56</v>
      </c>
      <c r="K15" s="14">
        <f>D18+D19</f>
        <v>463.87</v>
      </c>
      <c r="L15" s="14">
        <f>L14-K15</f>
        <v>-5.6843418860808015E-13</v>
      </c>
      <c r="M15" s="14">
        <f>F18+F19</f>
        <v>9844.6899999999987</v>
      </c>
      <c r="N15" s="14">
        <f>N14-M15</f>
        <v>0</v>
      </c>
    </row>
    <row r="16" spans="1:14" x14ac:dyDescent="0.25">
      <c r="A16" s="1">
        <v>5</v>
      </c>
      <c r="B16" s="11">
        <v>43128</v>
      </c>
      <c r="C16" s="12">
        <v>5154.28</v>
      </c>
      <c r="D16" s="12">
        <v>596.92999999999995</v>
      </c>
      <c r="E16" s="247">
        <f t="shared" si="1"/>
        <v>918.37999999999931</v>
      </c>
      <c r="F16" s="12">
        <f t="shared" si="2"/>
        <v>4557.3499999999995</v>
      </c>
      <c r="G16" s="247">
        <f t="shared" si="0"/>
        <v>14544.46</v>
      </c>
    </row>
    <row r="17" spans="1:7" x14ac:dyDescent="0.25">
      <c r="A17" s="1">
        <v>6</v>
      </c>
      <c r="B17" s="11">
        <v>43309</v>
      </c>
      <c r="C17" s="12">
        <v>5154.28</v>
      </c>
      <c r="D17" s="12">
        <v>454.51</v>
      </c>
      <c r="E17" s="247">
        <f t="shared" si="1"/>
        <v>463.86999999999932</v>
      </c>
      <c r="F17" s="12">
        <f t="shared" si="2"/>
        <v>4699.7699999999995</v>
      </c>
      <c r="G17" s="247">
        <f t="shared" si="0"/>
        <v>9844.6899999999987</v>
      </c>
    </row>
    <row r="18" spans="1:7" x14ac:dyDescent="0.25">
      <c r="A18" s="1">
        <v>7</v>
      </c>
      <c r="B18" s="11">
        <v>43493</v>
      </c>
      <c r="C18" s="12">
        <v>5154.28</v>
      </c>
      <c r="D18" s="12">
        <v>307.64999999999998</v>
      </c>
      <c r="E18" s="247">
        <f t="shared" si="1"/>
        <v>156.21999999999935</v>
      </c>
      <c r="F18" s="12">
        <f t="shared" si="2"/>
        <v>4846.63</v>
      </c>
      <c r="G18" s="247">
        <f t="shared" si="0"/>
        <v>4998.0599999999986</v>
      </c>
    </row>
    <row r="19" spans="1:7" x14ac:dyDescent="0.25">
      <c r="A19" s="1">
        <v>8</v>
      </c>
      <c r="B19" s="11">
        <v>43674</v>
      </c>
      <c r="C19" s="12">
        <v>5154.28</v>
      </c>
      <c r="D19" s="12">
        <v>156.22</v>
      </c>
      <c r="E19" s="247">
        <f t="shared" si="1"/>
        <v>-6.5369931689929217E-13</v>
      </c>
      <c r="F19" s="12">
        <f t="shared" si="2"/>
        <v>4998.0599999999995</v>
      </c>
      <c r="G19" s="247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18</v>
      </c>
      <c r="C21" s="14">
        <f>SUM(C12:C19)</f>
        <v>41234.239999999998</v>
      </c>
      <c r="D21" s="14">
        <f t="shared" ref="C21:F21" si="3">SUM(D12:D19)</f>
        <v>4118.0999999999995</v>
      </c>
      <c r="E21" s="14"/>
      <c r="F21" s="14">
        <f t="shared" si="3"/>
        <v>37116.14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1D92-8DDD-45E9-9817-3FFE36C81985}">
  <dimension ref="A1:K42"/>
  <sheetViews>
    <sheetView topLeftCell="A12" workbookViewId="0">
      <selection activeCell="I34" sqref="I34"/>
    </sheetView>
  </sheetViews>
  <sheetFormatPr defaultRowHeight="15" x14ac:dyDescent="0.25"/>
  <cols>
    <col min="1" max="1" width="14.140625" customWidth="1"/>
    <col min="2" max="2" width="15" customWidth="1"/>
    <col min="3" max="3" width="13.5703125" bestFit="1" customWidth="1"/>
    <col min="4" max="5" width="12.140625" customWidth="1"/>
    <col min="6" max="6" width="12.5703125" bestFit="1" customWidth="1"/>
    <col min="7" max="7" width="12.5703125" customWidth="1"/>
    <col min="8" max="8" width="13.5703125" customWidth="1"/>
    <col min="9" max="10" width="11.5703125" bestFit="1" customWidth="1"/>
  </cols>
  <sheetData>
    <row r="1" spans="1:8" ht="21" x14ac:dyDescent="0.35">
      <c r="A1" s="56" t="s">
        <v>89</v>
      </c>
      <c r="B1" s="33"/>
      <c r="C1" s="33"/>
      <c r="D1" s="21" t="s">
        <v>93</v>
      </c>
      <c r="E1" s="21"/>
      <c r="F1" s="33"/>
      <c r="G1" s="33"/>
      <c r="H1" s="33"/>
    </row>
    <row r="2" spans="1:8" x14ac:dyDescent="0.25">
      <c r="B2" s="3"/>
      <c r="C2" s="3"/>
      <c r="D2" s="3"/>
      <c r="E2" s="3"/>
      <c r="F2" s="3"/>
      <c r="G2" s="3"/>
      <c r="H2" s="3"/>
    </row>
    <row r="3" spans="1:8" ht="15.75" x14ac:dyDescent="0.25">
      <c r="A3" s="57" t="s">
        <v>63</v>
      </c>
      <c r="B3" s="57"/>
      <c r="C3" s="57"/>
      <c r="D3" s="34"/>
      <c r="E3" s="34"/>
      <c r="F3" s="34"/>
      <c r="G3" s="34"/>
      <c r="H3" s="34"/>
    </row>
    <row r="4" spans="1:8" x14ac:dyDescent="0.25">
      <c r="A4" s="58"/>
      <c r="B4" s="58"/>
      <c r="C4" s="21"/>
      <c r="D4" s="3"/>
      <c r="E4" s="3"/>
      <c r="F4" s="3"/>
      <c r="G4" s="3"/>
      <c r="H4" s="3"/>
    </row>
    <row r="5" spans="1:8" x14ac:dyDescent="0.25">
      <c r="A5" s="21" t="s">
        <v>64</v>
      </c>
      <c r="B5" s="21"/>
      <c r="C5" s="21"/>
      <c r="D5" s="3"/>
      <c r="E5" s="3"/>
      <c r="F5" s="3"/>
      <c r="G5" s="3"/>
      <c r="H5" s="3"/>
    </row>
    <row r="6" spans="1:8" x14ac:dyDescent="0.25">
      <c r="A6" s="58"/>
      <c r="B6" s="58"/>
      <c r="C6" s="21"/>
      <c r="D6" s="3"/>
      <c r="E6" s="3"/>
      <c r="F6" s="3"/>
      <c r="G6" s="3"/>
      <c r="H6" s="3"/>
    </row>
    <row r="7" spans="1:8" x14ac:dyDescent="0.25">
      <c r="A7" s="21" t="s">
        <v>65</v>
      </c>
      <c r="B7" s="21"/>
      <c r="C7" s="21"/>
      <c r="D7" s="3"/>
      <c r="E7" s="3"/>
      <c r="F7" s="3"/>
      <c r="G7" s="3"/>
      <c r="H7" s="3"/>
    </row>
    <row r="8" spans="1:8" x14ac:dyDescent="0.25">
      <c r="A8" s="21" t="s">
        <v>66</v>
      </c>
      <c r="B8" s="21"/>
      <c r="C8" s="21"/>
      <c r="D8" s="3"/>
      <c r="E8" s="3"/>
      <c r="F8" s="3"/>
      <c r="G8" s="3"/>
      <c r="H8" s="3"/>
    </row>
    <row r="9" spans="1:8" x14ac:dyDescent="0.25">
      <c r="A9" s="21" t="s">
        <v>67</v>
      </c>
      <c r="B9" s="21"/>
      <c r="C9" s="21"/>
      <c r="D9" s="3"/>
      <c r="E9" s="3"/>
      <c r="F9" s="3"/>
      <c r="G9" s="3"/>
      <c r="H9" s="3"/>
    </row>
    <row r="10" spans="1:8" x14ac:dyDescent="0.25">
      <c r="A10" s="58" t="s">
        <v>94</v>
      </c>
      <c r="B10" s="21"/>
      <c r="C10" s="21"/>
      <c r="D10" s="3"/>
      <c r="E10" s="3"/>
      <c r="F10" s="3"/>
      <c r="G10" s="3"/>
      <c r="H10" s="3"/>
    </row>
    <row r="11" spans="1:8" x14ac:dyDescent="0.25">
      <c r="A11" s="21"/>
      <c r="B11" s="21"/>
      <c r="C11" s="21"/>
      <c r="D11" s="3"/>
      <c r="E11" s="3"/>
      <c r="F11" s="3"/>
      <c r="G11" s="3"/>
      <c r="H11" s="3"/>
    </row>
    <row r="12" spans="1:8" x14ac:dyDescent="0.25">
      <c r="A12" s="58"/>
      <c r="B12" s="58"/>
      <c r="C12" s="21"/>
      <c r="D12" s="3"/>
      <c r="E12" s="3"/>
      <c r="F12" s="3"/>
      <c r="G12" s="3"/>
      <c r="H12" s="3"/>
    </row>
    <row r="13" spans="1:8" ht="15.75" x14ac:dyDescent="0.25">
      <c r="A13" s="57" t="s">
        <v>69</v>
      </c>
      <c r="B13" s="57"/>
      <c r="C13" s="57"/>
      <c r="D13" s="34"/>
      <c r="E13" s="34"/>
      <c r="F13" s="34"/>
      <c r="G13" s="34"/>
      <c r="H13" s="34"/>
    </row>
    <row r="14" spans="1:8" x14ac:dyDescent="0.25">
      <c r="A14" s="58" t="s">
        <v>70</v>
      </c>
      <c r="B14" s="58"/>
      <c r="D14" s="3"/>
      <c r="E14" s="3"/>
      <c r="F14" s="35">
        <v>42780</v>
      </c>
      <c r="G14" s="35"/>
      <c r="H14" s="35"/>
    </row>
    <row r="15" spans="1:8" x14ac:dyDescent="0.25">
      <c r="A15" s="58"/>
      <c r="B15" s="58"/>
    </row>
    <row r="16" spans="1:8" x14ac:dyDescent="0.25">
      <c r="A16" s="58" t="s">
        <v>71</v>
      </c>
      <c r="B16" s="58"/>
    </row>
    <row r="17" spans="1:11" x14ac:dyDescent="0.25">
      <c r="A17" s="58" t="s">
        <v>72</v>
      </c>
      <c r="B17" s="58" t="s">
        <v>73</v>
      </c>
      <c r="I17" s="36">
        <v>215000</v>
      </c>
    </row>
    <row r="18" spans="1:11" x14ac:dyDescent="0.25">
      <c r="A18" s="58" t="s">
        <v>74</v>
      </c>
      <c r="B18" s="58" t="s">
        <v>75</v>
      </c>
      <c r="I18" s="36">
        <v>0</v>
      </c>
    </row>
    <row r="19" spans="1:11" x14ac:dyDescent="0.25">
      <c r="A19" s="58"/>
      <c r="B19" s="58" t="s">
        <v>76</v>
      </c>
      <c r="I19" s="36">
        <v>6060.93</v>
      </c>
    </row>
    <row r="20" spans="1:11" x14ac:dyDescent="0.25">
      <c r="A20" s="58"/>
      <c r="B20" s="58" t="s">
        <v>77</v>
      </c>
      <c r="I20" s="36">
        <v>0</v>
      </c>
    </row>
    <row r="21" spans="1:11" x14ac:dyDescent="0.25">
      <c r="A21" s="58" t="s">
        <v>78</v>
      </c>
      <c r="B21" s="58" t="s">
        <v>79</v>
      </c>
      <c r="I21" s="36">
        <f>I17-I18-I19-I20</f>
        <v>208939.07</v>
      </c>
    </row>
    <row r="22" spans="1:11" x14ac:dyDescent="0.25">
      <c r="A22" s="58"/>
      <c r="B22" s="58"/>
      <c r="C22" s="58"/>
    </row>
    <row r="23" spans="1:11" x14ac:dyDescent="0.25">
      <c r="A23" s="58"/>
      <c r="B23" s="58" t="s">
        <v>80</v>
      </c>
      <c r="C23" s="58"/>
    </row>
    <row r="24" spans="1:11" x14ac:dyDescent="0.25">
      <c r="A24" s="58"/>
      <c r="B24" s="58"/>
      <c r="C24" s="59"/>
      <c r="D24" s="38"/>
      <c r="E24" s="38"/>
      <c r="F24" s="38"/>
      <c r="G24" s="38"/>
      <c r="H24" s="38"/>
    </row>
    <row r="25" spans="1:11" x14ac:dyDescent="0.25">
      <c r="A25" s="58" t="s">
        <v>81</v>
      </c>
      <c r="B25" s="35">
        <f>F14</f>
        <v>42780</v>
      </c>
      <c r="C25" s="35"/>
      <c r="D25" s="39"/>
      <c r="E25" s="39"/>
      <c r="F25" s="39"/>
      <c r="G25" s="39"/>
      <c r="H25" s="39"/>
    </row>
    <row r="26" spans="1:11" x14ac:dyDescent="0.25">
      <c r="A26" s="58"/>
    </row>
    <row r="27" spans="1:11" x14ac:dyDescent="0.25">
      <c r="A27" s="252" t="s">
        <v>82</v>
      </c>
      <c r="B27" s="252" t="s">
        <v>82</v>
      </c>
      <c r="C27" s="252" t="s">
        <v>82</v>
      </c>
      <c r="D27" s="252" t="s">
        <v>4</v>
      </c>
      <c r="E27" s="250" t="s">
        <v>4</v>
      </c>
      <c r="F27" s="252" t="s">
        <v>3</v>
      </c>
      <c r="G27" s="250" t="s">
        <v>3</v>
      </c>
      <c r="H27" s="252" t="s">
        <v>83</v>
      </c>
      <c r="I27" s="1"/>
      <c r="J27" s="1"/>
      <c r="K27" s="1"/>
    </row>
    <row r="28" spans="1:11" x14ac:dyDescent="0.25">
      <c r="A28" s="252" t="s">
        <v>84</v>
      </c>
      <c r="B28" s="252" t="s">
        <v>31</v>
      </c>
      <c r="C28" s="252" t="s">
        <v>85</v>
      </c>
      <c r="D28" s="252" t="s">
        <v>86</v>
      </c>
      <c r="E28" s="250" t="s">
        <v>29</v>
      </c>
      <c r="F28" s="252" t="s">
        <v>86</v>
      </c>
      <c r="G28" s="250" t="s">
        <v>29</v>
      </c>
      <c r="H28" s="252" t="s">
        <v>87</v>
      </c>
      <c r="I28" s="1"/>
      <c r="J28" s="1"/>
      <c r="K28" s="1"/>
    </row>
    <row r="29" spans="1:11" s="40" customFormat="1" x14ac:dyDescent="0.25">
      <c r="A29" s="25"/>
      <c r="B29" s="302">
        <v>42780</v>
      </c>
      <c r="C29" s="62"/>
      <c r="D29" s="62"/>
      <c r="E29" s="295">
        <v>44172.52</v>
      </c>
      <c r="F29" s="62"/>
      <c r="G29" s="295">
        <f>I21</f>
        <v>208939.07</v>
      </c>
      <c r="H29" s="62"/>
      <c r="I29" s="25"/>
      <c r="J29" s="25"/>
      <c r="K29" s="25"/>
    </row>
    <row r="30" spans="1:11" x14ac:dyDescent="0.25">
      <c r="A30" s="1">
        <v>1</v>
      </c>
      <c r="B30" s="11">
        <v>43145</v>
      </c>
      <c r="C30" s="62">
        <v>27027.38</v>
      </c>
      <c r="D30" s="62">
        <v>8336.67</v>
      </c>
      <c r="E30" s="295">
        <f>E29-D30</f>
        <v>35835.85</v>
      </c>
      <c r="F30" s="62">
        <f>C30-D30</f>
        <v>18690.71</v>
      </c>
      <c r="G30" s="251">
        <f>I21-F30</f>
        <v>190248.36000000002</v>
      </c>
      <c r="H30" s="62">
        <v>195955.81</v>
      </c>
      <c r="J30" s="14"/>
    </row>
    <row r="31" spans="1:11" x14ac:dyDescent="0.25">
      <c r="A31" s="1">
        <v>2</v>
      </c>
      <c r="B31" s="11">
        <v>43510</v>
      </c>
      <c r="C31" s="62">
        <f>C30</f>
        <v>27027.38</v>
      </c>
      <c r="D31" s="62">
        <v>7590.91</v>
      </c>
      <c r="E31" s="295">
        <f>E30-D31</f>
        <v>28244.94</v>
      </c>
      <c r="F31" s="62">
        <f>C31-D31</f>
        <v>19436.47</v>
      </c>
      <c r="G31" s="251">
        <f>G30-F31</f>
        <v>170811.89</v>
      </c>
      <c r="H31" s="62">
        <v>175936.25</v>
      </c>
      <c r="J31" s="14"/>
    </row>
    <row r="32" spans="1:11" x14ac:dyDescent="0.25">
      <c r="A32" s="1">
        <v>3</v>
      </c>
      <c r="B32" s="11">
        <v>43875</v>
      </c>
      <c r="C32" s="62">
        <f t="shared" ref="C32:C38" si="0">C31</f>
        <v>27027.38</v>
      </c>
      <c r="D32" s="62">
        <v>6815.39</v>
      </c>
      <c r="E32" s="295">
        <f>E31-D32</f>
        <v>21429.55</v>
      </c>
      <c r="F32" s="62">
        <f t="shared" ref="F32:F39" si="1">C32-D32</f>
        <v>20211.990000000002</v>
      </c>
      <c r="G32" s="251">
        <f>G31-F32</f>
        <v>150599.90000000002</v>
      </c>
      <c r="H32" s="62">
        <v>155117.9</v>
      </c>
      <c r="J32" s="14"/>
    </row>
    <row r="33" spans="1:10" x14ac:dyDescent="0.25">
      <c r="A33" s="1">
        <v>4</v>
      </c>
      <c r="B33" s="11">
        <v>44241</v>
      </c>
      <c r="C33" s="62">
        <f t="shared" si="0"/>
        <v>27027.38</v>
      </c>
      <c r="D33" s="62">
        <v>6008.94</v>
      </c>
      <c r="E33" s="295">
        <f>E32-D33</f>
        <v>15420.61</v>
      </c>
      <c r="F33" s="62">
        <f t="shared" si="1"/>
        <v>21018.440000000002</v>
      </c>
      <c r="G33" s="251">
        <f>G32-F33</f>
        <v>129581.46000000002</v>
      </c>
      <c r="H33" s="62">
        <v>133468.9</v>
      </c>
      <c r="J33" s="14"/>
    </row>
    <row r="34" spans="1:10" x14ac:dyDescent="0.25">
      <c r="A34" s="15" t="s">
        <v>212</v>
      </c>
      <c r="B34" s="11">
        <v>44397</v>
      </c>
      <c r="C34" s="62">
        <v>137983.49</v>
      </c>
      <c r="D34" s="62">
        <v>8402.0300000000007</v>
      </c>
      <c r="E34" s="295">
        <v>0</v>
      </c>
      <c r="F34" s="62">
        <v>129581.46</v>
      </c>
      <c r="G34" s="251">
        <f>G33-F34</f>
        <v>0</v>
      </c>
      <c r="H34" s="62"/>
      <c r="I34" t="s">
        <v>216</v>
      </c>
      <c r="J34" s="14"/>
    </row>
    <row r="35" spans="1:10" x14ac:dyDescent="0.25">
      <c r="A35" s="1">
        <v>5</v>
      </c>
      <c r="B35" s="11">
        <v>44606</v>
      </c>
      <c r="C35" s="62"/>
      <c r="D35" s="62"/>
      <c r="E35" s="295"/>
      <c r="F35" s="62"/>
      <c r="G35" s="251"/>
      <c r="H35" s="62"/>
      <c r="J35" s="14"/>
    </row>
    <row r="36" spans="1:10" x14ac:dyDescent="0.25">
      <c r="A36" s="1">
        <v>6</v>
      </c>
      <c r="B36" s="11">
        <v>44971</v>
      </c>
      <c r="C36" s="62"/>
      <c r="D36" s="62"/>
      <c r="E36" s="295"/>
      <c r="F36" s="62"/>
      <c r="G36" s="251"/>
      <c r="H36" s="62"/>
      <c r="J36" s="14"/>
    </row>
    <row r="37" spans="1:10" x14ac:dyDescent="0.25">
      <c r="A37" s="1">
        <v>7</v>
      </c>
      <c r="B37" s="11">
        <v>45336</v>
      </c>
      <c r="C37" s="62"/>
      <c r="D37" s="62"/>
      <c r="E37" s="295"/>
      <c r="F37" s="62"/>
      <c r="G37" s="251"/>
      <c r="H37" s="62"/>
      <c r="J37" s="14"/>
    </row>
    <row r="38" spans="1:10" x14ac:dyDescent="0.25">
      <c r="A38" s="1">
        <v>8</v>
      </c>
      <c r="B38" s="11">
        <v>45702</v>
      </c>
      <c r="C38" s="62"/>
      <c r="D38" s="62"/>
      <c r="E38" s="295"/>
      <c r="F38" s="62"/>
      <c r="G38" s="251"/>
      <c r="H38" s="62"/>
      <c r="J38" s="14"/>
    </row>
    <row r="39" spans="1:10" x14ac:dyDescent="0.25">
      <c r="A39" s="1">
        <v>9</v>
      </c>
      <c r="B39" s="11">
        <v>45730</v>
      </c>
      <c r="C39" s="62"/>
      <c r="D39" s="62"/>
      <c r="E39" s="295"/>
      <c r="F39" s="62"/>
      <c r="G39" s="251"/>
      <c r="H39" s="62"/>
      <c r="J39" s="14"/>
    </row>
    <row r="40" spans="1:10" x14ac:dyDescent="0.25">
      <c r="A40" s="58"/>
      <c r="B40" s="13"/>
      <c r="C40" s="62"/>
      <c r="D40" s="62"/>
      <c r="E40" s="62"/>
      <c r="F40" s="62"/>
      <c r="G40" s="62"/>
      <c r="H40" s="62"/>
    </row>
    <row r="41" spans="1:10" x14ac:dyDescent="0.25">
      <c r="A41" s="58" t="s">
        <v>18</v>
      </c>
      <c r="C41" s="60">
        <f>SUM(C30:C39)</f>
        <v>246093.01</v>
      </c>
      <c r="D41" s="60">
        <f>SUM(D30:D39)</f>
        <v>37153.94</v>
      </c>
      <c r="E41" s="60"/>
      <c r="F41" s="60">
        <f>SUM(F30:F39)</f>
        <v>208939.07</v>
      </c>
      <c r="G41" s="60"/>
      <c r="H41" s="60"/>
    </row>
    <row r="42" spans="1:10" x14ac:dyDescent="0.25">
      <c r="C42" s="60"/>
      <c r="D42" s="60"/>
      <c r="E42" s="60"/>
      <c r="F42" s="60"/>
      <c r="G42" s="60"/>
      <c r="H42" s="60"/>
    </row>
  </sheetData>
  <mergeCells count="2">
    <mergeCell ref="F14:H14"/>
    <mergeCell ref="B25:C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A0B1-E145-4037-8D18-9C8203562573}">
  <dimension ref="A1:L38"/>
  <sheetViews>
    <sheetView topLeftCell="A12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6.42578125" bestFit="1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A1" s="33" t="s">
        <v>89</v>
      </c>
      <c r="C1" s="55"/>
      <c r="D1" s="3" t="s">
        <v>90</v>
      </c>
      <c r="E1" s="55"/>
      <c r="F1" s="55"/>
      <c r="G1" s="55"/>
      <c r="H1" s="55"/>
      <c r="I1" s="55"/>
      <c r="J1" s="55"/>
    </row>
    <row r="2" spans="1:10" x14ac:dyDescent="0.25"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91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4" t="s">
        <v>69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B13" s="50" t="s">
        <v>70</v>
      </c>
      <c r="C13" s="50"/>
      <c r="D13" s="3"/>
      <c r="E13" s="3"/>
      <c r="G13" s="39">
        <v>42780</v>
      </c>
      <c r="H13" s="3"/>
      <c r="I13" s="3"/>
    </row>
    <row r="15" spans="1:10" x14ac:dyDescent="0.25">
      <c r="B15" s="50" t="s">
        <v>71</v>
      </c>
      <c r="C15" s="50"/>
    </row>
    <row r="16" spans="1:10" x14ac:dyDescent="0.25">
      <c r="B16" t="s">
        <v>72</v>
      </c>
      <c r="C16" t="s">
        <v>73</v>
      </c>
      <c r="G16" s="36">
        <v>213250</v>
      </c>
    </row>
    <row r="17" spans="1:12" x14ac:dyDescent="0.25">
      <c r="B17" t="s">
        <v>74</v>
      </c>
      <c r="C17" t="s">
        <v>75</v>
      </c>
      <c r="G17" s="36">
        <v>0</v>
      </c>
    </row>
    <row r="18" spans="1:12" x14ac:dyDescent="0.25">
      <c r="C18" t="s">
        <v>76</v>
      </c>
      <c r="G18" s="36">
        <v>0</v>
      </c>
    </row>
    <row r="19" spans="1:12" x14ac:dyDescent="0.25">
      <c r="C19" t="s">
        <v>77</v>
      </c>
      <c r="G19" s="36">
        <v>0</v>
      </c>
    </row>
    <row r="20" spans="1:12" ht="15" customHeight="1" x14ac:dyDescent="0.25">
      <c r="B20" t="s">
        <v>78</v>
      </c>
      <c r="C20" s="47" t="s">
        <v>79</v>
      </c>
      <c r="D20" s="47"/>
      <c r="G20" s="36">
        <f>G16-G17-G18-G19</f>
        <v>213250</v>
      </c>
    </row>
    <row r="22" spans="1:12" x14ac:dyDescent="0.25">
      <c r="B22" s="50" t="s">
        <v>92</v>
      </c>
      <c r="C22" s="50"/>
    </row>
    <row r="23" spans="1:12" x14ac:dyDescent="0.25">
      <c r="C23" s="38"/>
      <c r="D23" s="38"/>
      <c r="E23" s="38"/>
      <c r="F23" s="38"/>
      <c r="G23" s="38"/>
      <c r="H23" s="38"/>
      <c r="I23" s="38"/>
      <c r="J23" s="38"/>
    </row>
    <row r="24" spans="1:12" x14ac:dyDescent="0.25">
      <c r="A24" t="s">
        <v>81</v>
      </c>
      <c r="C24" s="52">
        <f>G13</f>
        <v>42780</v>
      </c>
      <c r="D24" s="52"/>
      <c r="E24" s="52"/>
      <c r="F24" s="52"/>
      <c r="G24" s="52"/>
      <c r="H24" s="52"/>
      <c r="I24" s="52"/>
      <c r="J24" s="52"/>
    </row>
    <row r="26" spans="1:12" x14ac:dyDescent="0.25">
      <c r="A26" s="1"/>
      <c r="B26" s="1"/>
      <c r="C26" s="252" t="s">
        <v>82</v>
      </c>
      <c r="D26" s="252" t="s">
        <v>82</v>
      </c>
      <c r="E26" s="252" t="s">
        <v>82</v>
      </c>
      <c r="F26" s="252" t="s">
        <v>4</v>
      </c>
      <c r="G26" s="250" t="s">
        <v>4</v>
      </c>
      <c r="H26" s="252" t="s">
        <v>3</v>
      </c>
      <c r="I26" s="250" t="s">
        <v>3</v>
      </c>
      <c r="J26" s="252" t="s">
        <v>83</v>
      </c>
      <c r="K26" s="1"/>
      <c r="L26" s="1"/>
    </row>
    <row r="27" spans="1:12" x14ac:dyDescent="0.25">
      <c r="A27" s="1"/>
      <c r="B27" s="1"/>
      <c r="C27" s="252" t="s">
        <v>84</v>
      </c>
      <c r="D27" s="252" t="s">
        <v>31</v>
      </c>
      <c r="E27" s="252" t="s">
        <v>85</v>
      </c>
      <c r="F27" s="252" t="s">
        <v>86</v>
      </c>
      <c r="G27" s="250" t="s">
        <v>29</v>
      </c>
      <c r="H27" s="252" t="s">
        <v>86</v>
      </c>
      <c r="I27" s="250" t="s">
        <v>29</v>
      </c>
      <c r="J27" s="252" t="s">
        <v>87</v>
      </c>
      <c r="K27" s="1"/>
      <c r="L27" s="1"/>
    </row>
    <row r="28" spans="1:12" x14ac:dyDescent="0.25">
      <c r="A28" s="1"/>
      <c r="B28" s="1"/>
      <c r="C28" s="252"/>
      <c r="D28" s="302">
        <v>42780</v>
      </c>
      <c r="E28" s="304"/>
      <c r="F28" s="304"/>
      <c r="G28" s="303">
        <v>21101.65</v>
      </c>
      <c r="H28" s="304"/>
      <c r="I28" s="303">
        <v>213250</v>
      </c>
      <c r="J28" s="294"/>
      <c r="K28" s="1"/>
      <c r="L28" s="1"/>
    </row>
    <row r="29" spans="1:12" x14ac:dyDescent="0.25">
      <c r="C29" s="1">
        <v>1</v>
      </c>
      <c r="D29" s="11">
        <v>43145</v>
      </c>
      <c r="E29" s="62">
        <v>46870.33</v>
      </c>
      <c r="F29" s="62">
        <v>6887.97</v>
      </c>
      <c r="G29" s="295">
        <f>G28-F29</f>
        <v>14213.68</v>
      </c>
      <c r="H29" s="62">
        <f>E29-F29</f>
        <v>39982.36</v>
      </c>
      <c r="I29" s="295">
        <f>I28-H29</f>
        <v>173267.64</v>
      </c>
      <c r="J29" s="62">
        <v>178465.67</v>
      </c>
      <c r="L29" s="54"/>
    </row>
    <row r="30" spans="1:12" x14ac:dyDescent="0.25">
      <c r="C30" s="1">
        <v>2</v>
      </c>
      <c r="D30" s="11">
        <v>43510</v>
      </c>
      <c r="E30" s="62">
        <f>E29</f>
        <v>46870.33</v>
      </c>
      <c r="F30" s="62">
        <v>5596.54</v>
      </c>
      <c r="G30" s="295">
        <f>G29-F30</f>
        <v>8617.14</v>
      </c>
      <c r="H30" s="62">
        <f>E30-F30</f>
        <v>41273.79</v>
      </c>
      <c r="I30" s="251">
        <f>I29-H30</f>
        <v>131993.85</v>
      </c>
      <c r="J30" s="62">
        <v>135953.67000000001</v>
      </c>
      <c r="L30" s="54"/>
    </row>
    <row r="31" spans="1:12" x14ac:dyDescent="0.25">
      <c r="C31" s="1">
        <v>3</v>
      </c>
      <c r="D31" s="11">
        <v>43875</v>
      </c>
      <c r="E31" s="62">
        <f t="shared" ref="E31:E33" si="0">E30</f>
        <v>46870.33</v>
      </c>
      <c r="F31" s="62">
        <v>4263.3999999999996</v>
      </c>
      <c r="G31" s="295">
        <f t="shared" ref="G31:G33" si="1">G30-F31</f>
        <v>4353.74</v>
      </c>
      <c r="H31" s="62">
        <f t="shared" ref="H31:H33" si="2">E31-F31</f>
        <v>42606.93</v>
      </c>
      <c r="I31" s="251">
        <f>I30-H31</f>
        <v>89386.920000000013</v>
      </c>
      <c r="J31" s="62">
        <v>92068.53</v>
      </c>
    </row>
    <row r="32" spans="1:12" x14ac:dyDescent="0.25">
      <c r="C32" s="1">
        <v>4</v>
      </c>
      <c r="D32" s="11">
        <v>44241</v>
      </c>
      <c r="E32" s="62">
        <f t="shared" si="0"/>
        <v>46870.33</v>
      </c>
      <c r="F32" s="62">
        <v>2887.2</v>
      </c>
      <c r="G32" s="295">
        <f t="shared" si="1"/>
        <v>1466.54</v>
      </c>
      <c r="H32" s="62">
        <f t="shared" si="2"/>
        <v>43983.130000000005</v>
      </c>
      <c r="I32" s="251">
        <f>I31-H32</f>
        <v>45403.790000000008</v>
      </c>
      <c r="J32" s="62">
        <v>46765.9</v>
      </c>
    </row>
    <row r="33" spans="3:11" x14ac:dyDescent="0.25">
      <c r="C33" s="1">
        <v>5</v>
      </c>
      <c r="D33" s="11">
        <v>44606</v>
      </c>
      <c r="E33" s="62">
        <f t="shared" si="0"/>
        <v>46870.33</v>
      </c>
      <c r="F33" s="62">
        <v>1466.54</v>
      </c>
      <c r="G33" s="295">
        <f t="shared" si="1"/>
        <v>0</v>
      </c>
      <c r="H33" s="62">
        <f t="shared" si="2"/>
        <v>45403.79</v>
      </c>
      <c r="I33" s="251">
        <f>I32-H33</f>
        <v>0</v>
      </c>
      <c r="J33" s="62">
        <v>1</v>
      </c>
      <c r="K33" t="s">
        <v>217</v>
      </c>
    </row>
    <row r="34" spans="3:11" x14ac:dyDescent="0.25">
      <c r="C34" s="1"/>
      <c r="D34" s="13"/>
      <c r="E34" s="62"/>
      <c r="F34" s="62"/>
      <c r="G34" s="62"/>
      <c r="H34" s="62"/>
      <c r="I34" s="62"/>
      <c r="J34" s="62"/>
    </row>
    <row r="35" spans="3:11" x14ac:dyDescent="0.25">
      <c r="C35" s="1" t="s">
        <v>18</v>
      </c>
      <c r="E35" s="60">
        <f>SUM(E29:E33)</f>
        <v>234351.65000000002</v>
      </c>
      <c r="F35" s="60">
        <f t="shared" ref="F35:H35" si="3">SUM(F29:F33)</f>
        <v>21101.65</v>
      </c>
      <c r="G35" s="60"/>
      <c r="H35" s="60">
        <f t="shared" si="3"/>
        <v>213250</v>
      </c>
      <c r="I35" s="60"/>
      <c r="J35" s="60"/>
    </row>
    <row r="36" spans="3:11" x14ac:dyDescent="0.25">
      <c r="E36" s="60"/>
      <c r="F36" s="60"/>
      <c r="G36" s="60"/>
      <c r="H36" s="60"/>
      <c r="I36" s="60"/>
      <c r="J36" s="60"/>
    </row>
    <row r="37" spans="3:11" x14ac:dyDescent="0.25">
      <c r="E37" s="60"/>
      <c r="F37" s="60"/>
      <c r="G37" s="60"/>
      <c r="H37" s="60"/>
      <c r="I37" s="60"/>
      <c r="J37" s="60"/>
    </row>
    <row r="38" spans="3:11" x14ac:dyDescent="0.25">
      <c r="E38" s="60"/>
      <c r="F38" s="60"/>
      <c r="G38" s="60"/>
      <c r="H38" s="60"/>
      <c r="I38" s="60"/>
      <c r="J38" s="60"/>
    </row>
  </sheetData>
  <mergeCells count="6">
    <mergeCell ref="B22:C22"/>
    <mergeCell ref="C24:J24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6C7B-7EF2-404F-8198-A0306BE35198}">
  <dimension ref="A1:K43"/>
  <sheetViews>
    <sheetView topLeftCell="A13" workbookViewId="0">
      <selection activeCell="A34" sqref="A34"/>
    </sheetView>
  </sheetViews>
  <sheetFormatPr defaultRowHeight="15" x14ac:dyDescent="0.25"/>
  <cols>
    <col min="1" max="1" width="13.7109375" customWidth="1"/>
    <col min="2" max="2" width="21.42578125" bestFit="1" customWidth="1"/>
    <col min="3" max="6" width="14.7109375" customWidth="1"/>
    <col min="7" max="7" width="14.140625" customWidth="1"/>
    <col min="8" max="8" width="14.7109375" customWidth="1"/>
    <col min="9" max="9" width="16.42578125" bestFit="1" customWidth="1"/>
    <col min="10" max="10" width="9.7109375" bestFit="1" customWidth="1"/>
    <col min="11" max="11" width="12.7109375" bestFit="1" customWidth="1"/>
  </cols>
  <sheetData>
    <row r="1" spans="1:9" ht="21" x14ac:dyDescent="0.35">
      <c r="A1" s="33" t="s">
        <v>89</v>
      </c>
      <c r="B1" s="33"/>
      <c r="C1" s="33"/>
      <c r="D1" s="3" t="s">
        <v>62</v>
      </c>
      <c r="E1" s="3"/>
      <c r="H1" s="33"/>
    </row>
    <row r="2" spans="1:9" x14ac:dyDescent="0.25">
      <c r="B2" s="3"/>
      <c r="C2" s="3"/>
      <c r="D2" s="3"/>
      <c r="E2" s="3"/>
      <c r="F2" s="3"/>
      <c r="G2" s="3"/>
      <c r="H2" s="3"/>
    </row>
    <row r="3" spans="1:9" ht="15.75" x14ac:dyDescent="0.25">
      <c r="A3" s="34" t="s">
        <v>63</v>
      </c>
      <c r="B3" s="34"/>
      <c r="C3" s="34"/>
      <c r="D3" s="34"/>
      <c r="E3" s="34"/>
      <c r="F3" s="34"/>
      <c r="G3" s="34"/>
      <c r="H3" s="34"/>
    </row>
    <row r="4" spans="1:9" x14ac:dyDescent="0.25">
      <c r="C4" s="3"/>
      <c r="D4" s="3"/>
      <c r="E4" s="3"/>
      <c r="F4" s="3"/>
      <c r="G4" s="3"/>
      <c r="H4" s="3"/>
    </row>
    <row r="5" spans="1:9" x14ac:dyDescent="0.25">
      <c r="A5" s="3" t="s">
        <v>64</v>
      </c>
      <c r="B5" s="3"/>
      <c r="C5" s="3"/>
      <c r="D5" s="3"/>
      <c r="E5" s="3"/>
      <c r="F5" s="3"/>
      <c r="G5" s="3"/>
      <c r="H5" s="3"/>
    </row>
    <row r="6" spans="1:9" x14ac:dyDescent="0.25">
      <c r="C6" s="3"/>
      <c r="D6" s="3"/>
      <c r="E6" s="3"/>
      <c r="F6" s="3"/>
      <c r="G6" s="3"/>
      <c r="H6" s="3"/>
    </row>
    <row r="7" spans="1:9" x14ac:dyDescent="0.25">
      <c r="A7" s="3" t="s">
        <v>65</v>
      </c>
      <c r="B7" s="3"/>
      <c r="C7" s="3"/>
      <c r="D7" s="3"/>
      <c r="E7" s="3"/>
      <c r="F7" s="3"/>
      <c r="G7" s="3"/>
      <c r="H7" s="3"/>
    </row>
    <row r="8" spans="1:9" x14ac:dyDescent="0.25">
      <c r="A8" s="3" t="s">
        <v>66</v>
      </c>
      <c r="B8" s="3"/>
      <c r="C8" s="3"/>
      <c r="D8" s="3"/>
      <c r="E8" s="3"/>
      <c r="F8" s="3"/>
      <c r="G8" s="3"/>
      <c r="H8" s="3"/>
    </row>
    <row r="9" spans="1:9" x14ac:dyDescent="0.25">
      <c r="A9" s="3" t="s">
        <v>67</v>
      </c>
      <c r="B9" s="3"/>
      <c r="C9" s="3"/>
      <c r="D9" s="3"/>
      <c r="E9" s="3"/>
      <c r="F9" s="3"/>
      <c r="G9" s="3"/>
      <c r="H9" s="3"/>
    </row>
    <row r="10" spans="1:9" x14ac:dyDescent="0.25">
      <c r="A10" t="s">
        <v>68</v>
      </c>
      <c r="B10" s="3"/>
      <c r="C10" s="3"/>
      <c r="D10" s="3"/>
      <c r="E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C12" s="3"/>
      <c r="D12" s="3"/>
      <c r="E12" s="3"/>
      <c r="F12" s="3"/>
      <c r="G12" s="3"/>
      <c r="H12" s="3"/>
    </row>
    <row r="13" spans="1:9" ht="15.75" x14ac:dyDescent="0.25">
      <c r="A13" s="34" t="s">
        <v>69</v>
      </c>
      <c r="B13" s="34"/>
      <c r="C13" s="34"/>
      <c r="D13" s="34"/>
      <c r="E13" s="34"/>
      <c r="F13" s="34"/>
      <c r="G13" s="34"/>
      <c r="H13" s="34"/>
    </row>
    <row r="14" spans="1:9" x14ac:dyDescent="0.25">
      <c r="B14" t="s">
        <v>70</v>
      </c>
      <c r="D14" s="3"/>
      <c r="E14" s="3"/>
      <c r="G14" s="253"/>
      <c r="H14" s="253"/>
      <c r="I14" s="253">
        <v>42780</v>
      </c>
    </row>
    <row r="16" spans="1:9" x14ac:dyDescent="0.25">
      <c r="B16" t="s">
        <v>71</v>
      </c>
    </row>
    <row r="17" spans="1:11" x14ac:dyDescent="0.25">
      <c r="B17" t="s">
        <v>72</v>
      </c>
      <c r="C17" t="s">
        <v>73</v>
      </c>
      <c r="I17" s="36">
        <v>765425</v>
      </c>
    </row>
    <row r="18" spans="1:11" x14ac:dyDescent="0.25">
      <c r="B18" t="s">
        <v>74</v>
      </c>
      <c r="C18" t="s">
        <v>75</v>
      </c>
      <c r="I18" s="36">
        <v>0</v>
      </c>
    </row>
    <row r="19" spans="1:11" x14ac:dyDescent="0.25">
      <c r="C19" t="s">
        <v>76</v>
      </c>
      <c r="I19" s="36">
        <v>26672.2</v>
      </c>
    </row>
    <row r="20" spans="1:11" x14ac:dyDescent="0.25">
      <c r="C20" t="s">
        <v>77</v>
      </c>
      <c r="I20" s="36">
        <v>0</v>
      </c>
    </row>
    <row r="21" spans="1:11" x14ac:dyDescent="0.25">
      <c r="B21" t="s">
        <v>78</v>
      </c>
      <c r="C21" s="47" t="s">
        <v>79</v>
      </c>
      <c r="D21" s="37"/>
      <c r="E21" s="37"/>
      <c r="I21" s="36">
        <f>I17-I18-I19-I20</f>
        <v>738752.8</v>
      </c>
    </row>
    <row r="23" spans="1:11" x14ac:dyDescent="0.25">
      <c r="B23" t="s">
        <v>80</v>
      </c>
    </row>
    <row r="24" spans="1:11" x14ac:dyDescent="0.25">
      <c r="C24" s="38"/>
      <c r="D24" s="38"/>
      <c r="E24" s="38"/>
      <c r="F24" s="38"/>
      <c r="G24" s="38"/>
      <c r="H24" s="38"/>
    </row>
    <row r="25" spans="1:11" x14ac:dyDescent="0.25">
      <c r="A25" t="s">
        <v>81</v>
      </c>
      <c r="B25" s="35">
        <f>I14</f>
        <v>42780</v>
      </c>
      <c r="C25" s="35"/>
      <c r="D25" s="39"/>
      <c r="E25" s="39"/>
      <c r="F25" s="39"/>
      <c r="G25" s="39"/>
      <c r="H25" s="39"/>
    </row>
    <row r="27" spans="1:11" s="42" customFormat="1" x14ac:dyDescent="0.25">
      <c r="A27" s="64" t="s">
        <v>82</v>
      </c>
      <c r="B27" s="64" t="s">
        <v>82</v>
      </c>
      <c r="C27" s="64" t="s">
        <v>82</v>
      </c>
      <c r="D27" s="64" t="s">
        <v>4</v>
      </c>
      <c r="E27" s="308" t="s">
        <v>4</v>
      </c>
      <c r="F27" s="64" t="s">
        <v>3</v>
      </c>
      <c r="G27" s="308" t="s">
        <v>3</v>
      </c>
      <c r="H27" s="64" t="s">
        <v>83</v>
      </c>
      <c r="I27" s="41"/>
      <c r="J27" s="41"/>
      <c r="K27" s="41"/>
    </row>
    <row r="28" spans="1:11" s="42" customFormat="1" x14ac:dyDescent="0.25">
      <c r="A28" s="64" t="s">
        <v>84</v>
      </c>
      <c r="B28" s="64" t="s">
        <v>31</v>
      </c>
      <c r="C28" s="64" t="s">
        <v>85</v>
      </c>
      <c r="D28" s="64" t="s">
        <v>86</v>
      </c>
      <c r="E28" s="308" t="s">
        <v>29</v>
      </c>
      <c r="F28" s="64" t="s">
        <v>86</v>
      </c>
      <c r="G28" s="308" t="s">
        <v>29</v>
      </c>
      <c r="H28" s="64" t="s">
        <v>87</v>
      </c>
      <c r="I28" s="41"/>
      <c r="J28" s="41"/>
      <c r="K28" s="41"/>
    </row>
    <row r="29" spans="1:11" s="42" customFormat="1" x14ac:dyDescent="0.25">
      <c r="A29" s="41"/>
      <c r="B29" s="46">
        <v>42780</v>
      </c>
      <c r="C29" s="298"/>
      <c r="D29" s="298"/>
      <c r="E29" s="299">
        <f>144124.2</f>
        <v>144124.20000000001</v>
      </c>
      <c r="F29" s="298"/>
      <c r="G29" s="299">
        <v>738752.8</v>
      </c>
      <c r="H29" s="298"/>
      <c r="I29" s="41"/>
      <c r="J29" s="41"/>
      <c r="K29" s="41"/>
    </row>
    <row r="30" spans="1:11" s="42" customFormat="1" x14ac:dyDescent="0.25">
      <c r="A30" s="41">
        <v>1</v>
      </c>
      <c r="B30" s="43">
        <v>43145</v>
      </c>
      <c r="C30" s="298">
        <v>85996.36</v>
      </c>
      <c r="D30" s="298">
        <v>25856.35</v>
      </c>
      <c r="E30" s="299">
        <f>E29-D30</f>
        <v>118267.85</v>
      </c>
      <c r="F30" s="298">
        <f>C30-D30</f>
        <v>60140.01</v>
      </c>
      <c r="G30" s="299">
        <f>G29-F30</f>
        <v>678612.79</v>
      </c>
      <c r="H30" s="298">
        <v>698971.17</v>
      </c>
      <c r="J30" s="44"/>
      <c r="K30" s="45"/>
    </row>
    <row r="31" spans="1:11" s="42" customFormat="1" x14ac:dyDescent="0.25">
      <c r="A31" s="41">
        <v>2</v>
      </c>
      <c r="B31" s="43">
        <v>43510</v>
      </c>
      <c r="C31" s="298">
        <f>C30</f>
        <v>85996.36</v>
      </c>
      <c r="D31" s="298">
        <v>23751.45</v>
      </c>
      <c r="E31" s="299">
        <f>E30-D31</f>
        <v>94516.400000000009</v>
      </c>
      <c r="F31" s="298">
        <f>C31-D31</f>
        <v>62244.91</v>
      </c>
      <c r="G31" s="297">
        <f>G30-F31</f>
        <v>616367.88</v>
      </c>
      <c r="H31" s="298">
        <v>634858.92000000004</v>
      </c>
      <c r="J31" s="44"/>
      <c r="K31" s="45"/>
    </row>
    <row r="32" spans="1:11" s="42" customFormat="1" x14ac:dyDescent="0.25">
      <c r="A32" s="41">
        <v>3</v>
      </c>
      <c r="B32" s="43">
        <v>43875</v>
      </c>
      <c r="C32" s="298">
        <f t="shared" ref="C32:C38" si="0">C31</f>
        <v>85996.36</v>
      </c>
      <c r="D32" s="298">
        <v>21572.880000000001</v>
      </c>
      <c r="E32" s="299">
        <f>E31-D32</f>
        <v>72943.520000000004</v>
      </c>
      <c r="F32" s="298">
        <f t="shared" ref="F32:F39" si="1">C32-D32</f>
        <v>64423.479999999996</v>
      </c>
      <c r="G32" s="297">
        <f>G31-F32</f>
        <v>551944.4</v>
      </c>
      <c r="H32" s="298">
        <v>568502.73</v>
      </c>
      <c r="K32" s="45"/>
    </row>
    <row r="33" spans="1:11" s="42" customFormat="1" x14ac:dyDescent="0.25">
      <c r="A33" s="41">
        <v>4</v>
      </c>
      <c r="B33" s="43">
        <v>44241</v>
      </c>
      <c r="C33" s="298">
        <f t="shared" si="0"/>
        <v>85996.36</v>
      </c>
      <c r="D33" s="298">
        <v>19318.05</v>
      </c>
      <c r="E33" s="299">
        <f>E32-D33</f>
        <v>53625.47</v>
      </c>
      <c r="F33" s="298">
        <f t="shared" si="1"/>
        <v>66678.31</v>
      </c>
      <c r="G33" s="297">
        <f>G32-F33</f>
        <v>485266.09</v>
      </c>
      <c r="H33" s="298">
        <v>499824.07</v>
      </c>
      <c r="K33" s="45"/>
    </row>
    <row r="34" spans="1:11" s="42" customFormat="1" x14ac:dyDescent="0.25">
      <c r="A34" s="64" t="s">
        <v>212</v>
      </c>
      <c r="B34" s="43">
        <v>44397</v>
      </c>
      <c r="C34" s="298">
        <v>514738.02</v>
      </c>
      <c r="D34" s="298">
        <v>29471.93</v>
      </c>
      <c r="E34" s="299">
        <v>0</v>
      </c>
      <c r="F34" s="298">
        <v>485266.09</v>
      </c>
      <c r="G34" s="297">
        <f>G33-F34</f>
        <v>0</v>
      </c>
      <c r="H34" s="298"/>
      <c r="I34" t="s">
        <v>216</v>
      </c>
      <c r="K34" s="45"/>
    </row>
    <row r="35" spans="1:11" s="42" customFormat="1" x14ac:dyDescent="0.25">
      <c r="A35" s="41">
        <v>5</v>
      </c>
      <c r="B35" s="43">
        <v>44606</v>
      </c>
      <c r="C35" s="298"/>
      <c r="D35" s="298"/>
      <c r="E35" s="299"/>
      <c r="F35" s="298"/>
      <c r="G35" s="297"/>
      <c r="H35" s="298"/>
      <c r="K35" s="45"/>
    </row>
    <row r="36" spans="1:11" s="42" customFormat="1" x14ac:dyDescent="0.25">
      <c r="A36" s="41">
        <v>6</v>
      </c>
      <c r="B36" s="43">
        <v>44971</v>
      </c>
      <c r="C36" s="298"/>
      <c r="D36" s="298"/>
      <c r="E36" s="299"/>
      <c r="F36" s="298"/>
      <c r="G36" s="297"/>
      <c r="H36" s="298"/>
      <c r="K36" s="45"/>
    </row>
    <row r="37" spans="1:11" s="42" customFormat="1" x14ac:dyDescent="0.25">
      <c r="A37" s="41">
        <v>7</v>
      </c>
      <c r="B37" s="43">
        <v>45336</v>
      </c>
      <c r="C37" s="298"/>
      <c r="D37" s="298"/>
      <c r="E37" s="299"/>
      <c r="F37" s="298"/>
      <c r="G37" s="297"/>
      <c r="H37" s="298"/>
      <c r="K37" s="45"/>
    </row>
    <row r="38" spans="1:11" s="42" customFormat="1" x14ac:dyDescent="0.25">
      <c r="A38" s="41">
        <v>8</v>
      </c>
      <c r="B38" s="43">
        <v>45702</v>
      </c>
      <c r="C38" s="298"/>
      <c r="D38" s="298"/>
      <c r="E38" s="299"/>
      <c r="F38" s="298"/>
      <c r="G38" s="297"/>
      <c r="H38" s="298"/>
      <c r="K38" s="45"/>
    </row>
    <row r="39" spans="1:11" s="42" customFormat="1" x14ac:dyDescent="0.25">
      <c r="A39" s="41">
        <v>9</v>
      </c>
      <c r="B39" s="43">
        <v>45730</v>
      </c>
      <c r="C39" s="298"/>
      <c r="D39" s="298"/>
      <c r="E39" s="299"/>
      <c r="F39" s="298"/>
      <c r="G39" s="297"/>
      <c r="H39" s="298"/>
      <c r="K39" s="45"/>
    </row>
    <row r="40" spans="1:11" s="42" customFormat="1" x14ac:dyDescent="0.25">
      <c r="A40" s="41"/>
      <c r="B40" s="46"/>
      <c r="C40" s="298"/>
      <c r="D40" s="298"/>
      <c r="E40" s="298"/>
      <c r="F40" s="298"/>
      <c r="G40" s="298"/>
      <c r="H40" s="298"/>
    </row>
    <row r="41" spans="1:11" s="42" customFormat="1" x14ac:dyDescent="0.25">
      <c r="A41" s="41" t="s">
        <v>18</v>
      </c>
      <c r="C41" s="300">
        <f>SUM(C30:C39)</f>
        <v>858723.46</v>
      </c>
      <c r="D41" s="300">
        <f>SUM(D30:D39)</f>
        <v>119970.66</v>
      </c>
      <c r="E41" s="300"/>
      <c r="F41" s="300">
        <f>SUM(F30:F39)</f>
        <v>738752.8</v>
      </c>
      <c r="G41" s="300"/>
      <c r="H41" s="300"/>
    </row>
    <row r="42" spans="1:11" s="42" customFormat="1" x14ac:dyDescent="0.25">
      <c r="C42" s="300"/>
      <c r="D42" s="300"/>
      <c r="E42" s="300"/>
      <c r="F42" s="300"/>
      <c r="G42" s="300"/>
      <c r="H42" s="300"/>
    </row>
    <row r="43" spans="1:11" s="42" customFormat="1" x14ac:dyDescent="0.25">
      <c r="C43" s="300"/>
      <c r="D43" s="300"/>
      <c r="E43" s="300"/>
      <c r="F43" s="300"/>
      <c r="G43" s="300"/>
      <c r="H43" s="300"/>
    </row>
  </sheetData>
  <mergeCells count="1">
    <mergeCell ref="B25:C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93E2-7CEF-4F98-825A-8350209FC902}">
  <dimension ref="A1:K35"/>
  <sheetViews>
    <sheetView topLeftCell="A6" workbookViewId="0">
      <selection activeCell="G29" sqref="G29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5.7109375" customWidth="1"/>
  </cols>
  <sheetData>
    <row r="1" spans="1:10" ht="21" x14ac:dyDescent="0.35">
      <c r="C1" s="48" t="s">
        <v>89</v>
      </c>
      <c r="D1" s="48"/>
      <c r="E1" s="48"/>
      <c r="F1" s="48"/>
      <c r="G1" s="48"/>
      <c r="H1" s="48"/>
      <c r="I1" s="48"/>
      <c r="J1" s="48"/>
    </row>
    <row r="2" spans="1:10" x14ac:dyDescent="0.25">
      <c r="C2" s="2" t="s">
        <v>105</v>
      </c>
      <c r="D2" s="2"/>
      <c r="E2" s="2"/>
      <c r="F2" s="2"/>
      <c r="G2" s="2"/>
      <c r="H2" s="2"/>
      <c r="I2" s="2"/>
      <c r="J2" s="2"/>
    </row>
    <row r="3" spans="1:10" ht="15.75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104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4" t="s">
        <v>69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x14ac:dyDescent="0.25">
      <c r="B14" s="50" t="s">
        <v>70</v>
      </c>
      <c r="C14" s="50"/>
      <c r="D14" s="3"/>
      <c r="E14" s="3"/>
      <c r="F14" s="3"/>
      <c r="G14" s="3"/>
      <c r="H14" s="3"/>
      <c r="I14" s="3"/>
      <c r="J14" s="39">
        <v>42843</v>
      </c>
    </row>
    <row r="16" spans="1:10" x14ac:dyDescent="0.25">
      <c r="B16" s="50" t="s">
        <v>71</v>
      </c>
      <c r="C16" s="50"/>
    </row>
    <row r="17" spans="1:11" x14ac:dyDescent="0.25">
      <c r="B17" t="s">
        <v>72</v>
      </c>
      <c r="C17" t="s">
        <v>73</v>
      </c>
      <c r="J17" s="36">
        <v>807322</v>
      </c>
    </row>
    <row r="18" spans="1:11" x14ac:dyDescent="0.25">
      <c r="B18" t="s">
        <v>74</v>
      </c>
      <c r="C18" t="s">
        <v>75</v>
      </c>
      <c r="J18" s="36">
        <v>0</v>
      </c>
    </row>
    <row r="19" spans="1:11" x14ac:dyDescent="0.25">
      <c r="C19" t="s">
        <v>76</v>
      </c>
      <c r="J19" s="36">
        <v>0</v>
      </c>
    </row>
    <row r="20" spans="1:11" x14ac:dyDescent="0.25">
      <c r="C20" t="s">
        <v>77</v>
      </c>
      <c r="J20" s="36">
        <v>0</v>
      </c>
    </row>
    <row r="21" spans="1:11" x14ac:dyDescent="0.25">
      <c r="B21" t="s">
        <v>78</v>
      </c>
      <c r="C21" s="51" t="s">
        <v>79</v>
      </c>
      <c r="D21" s="51"/>
      <c r="J21" s="36">
        <f>J17-J18-J19-J20</f>
        <v>807322</v>
      </c>
    </row>
    <row r="23" spans="1:11" x14ac:dyDescent="0.25">
      <c r="B23" s="50" t="s">
        <v>92</v>
      </c>
      <c r="C23" s="50"/>
    </row>
    <row r="24" spans="1:11" x14ac:dyDescent="0.25">
      <c r="C24" s="38"/>
      <c r="D24" s="38"/>
      <c r="E24" s="38"/>
      <c r="F24" s="38"/>
      <c r="G24" s="38"/>
      <c r="H24" s="38"/>
      <c r="I24" s="38"/>
      <c r="J24" s="38"/>
    </row>
    <row r="25" spans="1:11" x14ac:dyDescent="0.25">
      <c r="A25" t="s">
        <v>81</v>
      </c>
      <c r="C25" s="52">
        <f>J14</f>
        <v>42843</v>
      </c>
      <c r="D25" s="52"/>
      <c r="E25" s="52"/>
      <c r="F25" s="52"/>
      <c r="G25" s="52"/>
      <c r="H25" s="52"/>
      <c r="I25" s="52"/>
      <c r="J25" s="52"/>
    </row>
    <row r="27" spans="1:11" x14ac:dyDescent="0.25">
      <c r="A27" s="1"/>
      <c r="B27" s="1"/>
      <c r="C27" s="252" t="s">
        <v>82</v>
      </c>
      <c r="D27" s="252" t="s">
        <v>82</v>
      </c>
      <c r="E27" s="252" t="s">
        <v>82</v>
      </c>
      <c r="F27" s="252" t="s">
        <v>4</v>
      </c>
      <c r="G27" s="250" t="s">
        <v>4</v>
      </c>
      <c r="H27" s="252" t="s">
        <v>3</v>
      </c>
      <c r="I27" s="250" t="s">
        <v>3</v>
      </c>
      <c r="J27" s="252" t="s">
        <v>83</v>
      </c>
      <c r="K27" s="8"/>
    </row>
    <row r="28" spans="1:11" x14ac:dyDescent="0.25">
      <c r="A28" s="1"/>
      <c r="B28" s="1"/>
      <c r="C28" s="252" t="s">
        <v>84</v>
      </c>
      <c r="D28" s="252" t="s">
        <v>31</v>
      </c>
      <c r="E28" s="252" t="s">
        <v>85</v>
      </c>
      <c r="F28" s="252" t="s">
        <v>86</v>
      </c>
      <c r="G28" s="250" t="s">
        <v>29</v>
      </c>
      <c r="H28" s="252" t="s">
        <v>86</v>
      </c>
      <c r="I28" s="250" t="s">
        <v>29</v>
      </c>
      <c r="J28" s="252" t="s">
        <v>87</v>
      </c>
    </row>
    <row r="29" spans="1:11" x14ac:dyDescent="0.25">
      <c r="A29" s="1"/>
      <c r="B29" s="1"/>
      <c r="C29" s="252"/>
      <c r="D29" s="302">
        <v>42843</v>
      </c>
      <c r="E29" s="62"/>
      <c r="F29" s="62"/>
      <c r="G29" s="295">
        <v>37746.11</v>
      </c>
      <c r="H29" s="62"/>
      <c r="I29" s="295">
        <v>807322</v>
      </c>
      <c r="J29" s="294"/>
    </row>
    <row r="30" spans="1:11" x14ac:dyDescent="0.25">
      <c r="C30" s="1">
        <v>1</v>
      </c>
      <c r="D30" s="11">
        <v>43208</v>
      </c>
      <c r="E30" s="62">
        <v>281689.37</v>
      </c>
      <c r="F30" s="62">
        <v>18729.88</v>
      </c>
      <c r="G30" s="251">
        <f>G29-F30</f>
        <v>19016.23</v>
      </c>
      <c r="H30" s="62">
        <f>E30-F30</f>
        <v>262959.49</v>
      </c>
      <c r="I30" s="251">
        <f>I29-H30</f>
        <v>544362.51</v>
      </c>
      <c r="J30" s="62">
        <v>560693.39</v>
      </c>
    </row>
    <row r="31" spans="1:11" x14ac:dyDescent="0.25">
      <c r="C31" s="1">
        <v>2</v>
      </c>
      <c r="D31" s="11">
        <v>43573</v>
      </c>
      <c r="E31" s="62">
        <f>E30</f>
        <v>281689.37</v>
      </c>
      <c r="F31" s="62">
        <v>12629.21</v>
      </c>
      <c r="G31" s="251">
        <f t="shared" ref="G31:G32" si="0">G30-F31</f>
        <v>6387.02</v>
      </c>
      <c r="H31" s="62">
        <f>E31-F31</f>
        <v>269060.15999999997</v>
      </c>
      <c r="I31" s="251">
        <f t="shared" ref="I31:I32" si="1">I30-H31</f>
        <v>275302.35000000003</v>
      </c>
      <c r="J31" s="62">
        <v>283561.42</v>
      </c>
    </row>
    <row r="32" spans="1:11" x14ac:dyDescent="0.25">
      <c r="C32" s="1">
        <v>3</v>
      </c>
      <c r="D32" s="11">
        <v>43939</v>
      </c>
      <c r="E32" s="62">
        <f t="shared" ref="E32" si="2">E31</f>
        <v>281689.37</v>
      </c>
      <c r="F32" s="62">
        <v>6387.02</v>
      </c>
      <c r="G32" s="251">
        <f t="shared" si="0"/>
        <v>0</v>
      </c>
      <c r="H32" s="62">
        <f t="shared" ref="H32" si="3">E32-F32</f>
        <v>275302.34999999998</v>
      </c>
      <c r="I32" s="251">
        <f t="shared" si="1"/>
        <v>0</v>
      </c>
      <c r="J32" s="62">
        <v>1</v>
      </c>
    </row>
    <row r="33" spans="3:10" x14ac:dyDescent="0.25">
      <c r="C33" s="1"/>
      <c r="D33" s="13"/>
      <c r="E33" s="62"/>
      <c r="F33" s="62"/>
      <c r="G33" s="62"/>
      <c r="H33" s="62"/>
      <c r="I33" s="62"/>
      <c r="J33" s="62"/>
    </row>
    <row r="34" spans="3:10" x14ac:dyDescent="0.25">
      <c r="C34" s="1" t="s">
        <v>18</v>
      </c>
      <c r="E34" s="60">
        <f>SUM(E30:E32)</f>
        <v>845068.11</v>
      </c>
      <c r="F34" s="60">
        <f>SUM(F30:F32)</f>
        <v>37746.11</v>
      </c>
      <c r="G34" s="60"/>
      <c r="H34" s="60">
        <f>SUM(H30:H32)</f>
        <v>807321.99999999988</v>
      </c>
      <c r="I34" s="60"/>
      <c r="J34" s="60"/>
    </row>
    <row r="35" spans="3:10" x14ac:dyDescent="0.25">
      <c r="E35" s="60"/>
      <c r="F35" s="60"/>
      <c r="G35" s="60"/>
      <c r="H35" s="60"/>
      <c r="I35" s="60"/>
      <c r="J35" s="60"/>
    </row>
  </sheetData>
  <mergeCells count="8">
    <mergeCell ref="B23:C23"/>
    <mergeCell ref="C25:J25"/>
    <mergeCell ref="C1:J1"/>
    <mergeCell ref="C2:J2"/>
    <mergeCell ref="A3:J3"/>
    <mergeCell ref="B14:C14"/>
    <mergeCell ref="B16:C16"/>
    <mergeCell ref="C21:D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ACEB-BB98-4138-8897-F1A1AD310E64}">
  <dimension ref="B2:N44"/>
  <sheetViews>
    <sheetView topLeftCell="A13" workbookViewId="0">
      <selection activeCell="N20" sqref="N20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4.28515625" bestFit="1" customWidth="1"/>
    <col min="7" max="7" width="16.85546875" bestFit="1" customWidth="1"/>
    <col min="8" max="8" width="13.5703125" bestFit="1" customWidth="1"/>
    <col min="9" max="9" width="13.5703125" style="261" bestFit="1" customWidth="1"/>
    <col min="10" max="10" width="14.28515625" bestFit="1" customWidth="1"/>
    <col min="11" max="11" width="13.28515625" bestFit="1" customWidth="1"/>
    <col min="12" max="12" width="13.28515625" customWidth="1"/>
    <col min="13" max="13" width="13.5703125" bestFit="1" customWidth="1"/>
    <col min="14" max="14" width="16.140625" bestFit="1" customWidth="1"/>
  </cols>
  <sheetData>
    <row r="2" spans="2:12" x14ac:dyDescent="0.25">
      <c r="B2" s="2" t="s">
        <v>34</v>
      </c>
      <c r="C2" s="2"/>
      <c r="D2" s="2"/>
      <c r="E2" s="2"/>
      <c r="F2" s="2"/>
      <c r="G2" s="2"/>
      <c r="H2" s="26"/>
      <c r="I2" s="260"/>
      <c r="J2" s="26"/>
      <c r="K2" s="26"/>
      <c r="L2" s="26"/>
    </row>
    <row r="3" spans="2:12" x14ac:dyDescent="0.25">
      <c r="B3" s="2" t="s">
        <v>35</v>
      </c>
      <c r="C3" s="2"/>
      <c r="D3" s="2"/>
      <c r="E3" s="2"/>
      <c r="F3" s="2"/>
      <c r="G3" s="2"/>
      <c r="H3" s="26"/>
      <c r="I3" s="260"/>
      <c r="J3" s="26"/>
      <c r="K3" s="26"/>
      <c r="L3" s="26"/>
    </row>
    <row r="4" spans="2:12" x14ac:dyDescent="0.25">
      <c r="B4" s="2" t="s">
        <v>48</v>
      </c>
      <c r="C4" s="2"/>
      <c r="D4" s="2"/>
      <c r="E4" s="2"/>
      <c r="F4" s="2"/>
      <c r="G4" s="2"/>
      <c r="H4" s="26"/>
      <c r="I4" s="260"/>
      <c r="J4" s="26"/>
      <c r="K4" s="26"/>
      <c r="L4" s="26"/>
    </row>
    <row r="5" spans="2:12" x14ac:dyDescent="0.25">
      <c r="B5" s="15"/>
      <c r="C5" s="15"/>
      <c r="D5" s="15"/>
      <c r="E5" s="15"/>
      <c r="F5" s="15"/>
      <c r="G5" s="15"/>
    </row>
    <row r="6" spans="2:12" x14ac:dyDescent="0.25">
      <c r="B6" s="21" t="s">
        <v>36</v>
      </c>
      <c r="C6" s="15"/>
      <c r="D6" s="23" t="s">
        <v>42</v>
      </c>
      <c r="E6" s="15"/>
      <c r="F6" s="15"/>
      <c r="G6" s="15"/>
    </row>
    <row r="7" spans="2:12" x14ac:dyDescent="0.25">
      <c r="B7" s="21" t="s">
        <v>37</v>
      </c>
      <c r="C7" s="15"/>
      <c r="D7" s="24">
        <v>2139210.0299999998</v>
      </c>
      <c r="E7" s="15"/>
      <c r="F7" s="15"/>
      <c r="G7" s="15"/>
    </row>
    <row r="8" spans="2:12" x14ac:dyDescent="0.25">
      <c r="B8" s="21" t="s">
        <v>38</v>
      </c>
      <c r="C8" s="15"/>
      <c r="D8" s="28">
        <v>2.4E-2</v>
      </c>
      <c r="E8" s="15"/>
      <c r="F8" s="15"/>
      <c r="G8" s="15"/>
    </row>
    <row r="9" spans="2:12" x14ac:dyDescent="0.25">
      <c r="B9" s="21" t="s">
        <v>39</v>
      </c>
      <c r="C9" s="15"/>
      <c r="D9" s="29">
        <v>25</v>
      </c>
      <c r="E9" s="15"/>
      <c r="F9" s="15"/>
      <c r="G9" s="15"/>
    </row>
    <row r="10" spans="2:12" x14ac:dyDescent="0.25">
      <c r="B10" s="21" t="s">
        <v>40</v>
      </c>
      <c r="C10" s="15"/>
      <c r="D10" s="29">
        <v>4</v>
      </c>
      <c r="E10" s="15"/>
      <c r="F10" s="15"/>
      <c r="G10" s="15"/>
    </row>
    <row r="11" spans="2:12" x14ac:dyDescent="0.25">
      <c r="B11" s="21" t="s">
        <v>41</v>
      </c>
      <c r="C11" s="15"/>
      <c r="D11" s="29">
        <v>360</v>
      </c>
      <c r="E11" s="25" t="s">
        <v>43</v>
      </c>
      <c r="F11" s="15"/>
      <c r="G11" s="15"/>
    </row>
    <row r="12" spans="2:12" x14ac:dyDescent="0.25">
      <c r="B12" s="21"/>
      <c r="C12" s="15"/>
      <c r="D12" s="29"/>
      <c r="E12" s="25"/>
      <c r="F12" s="15"/>
      <c r="G12" s="15"/>
    </row>
    <row r="13" spans="2:12" x14ac:dyDescent="0.25">
      <c r="B13" s="21" t="s">
        <v>44</v>
      </c>
      <c r="C13" s="15"/>
      <c r="D13" s="27">
        <v>42095</v>
      </c>
      <c r="E13" s="15" t="s">
        <v>46</v>
      </c>
      <c r="F13" s="27">
        <v>44378</v>
      </c>
      <c r="G13" s="15"/>
    </row>
    <row r="14" spans="2:12" x14ac:dyDescent="0.25">
      <c r="B14" s="21" t="s">
        <v>45</v>
      </c>
      <c r="C14" s="15"/>
      <c r="D14" s="27" t="s">
        <v>49</v>
      </c>
      <c r="E14" s="15"/>
      <c r="F14" s="15"/>
      <c r="G14" s="15"/>
    </row>
    <row r="17" spans="2:14" ht="30" x14ac:dyDescent="0.25">
      <c r="B17" s="81" t="s">
        <v>50</v>
      </c>
      <c r="C17" s="81" t="s">
        <v>51</v>
      </c>
      <c r="D17" s="81" t="s">
        <v>52</v>
      </c>
      <c r="E17" s="81" t="s">
        <v>53</v>
      </c>
      <c r="F17" s="81" t="s">
        <v>54</v>
      </c>
      <c r="G17" s="81" t="s">
        <v>204</v>
      </c>
      <c r="H17" s="3"/>
      <c r="I17" s="262" t="s">
        <v>208</v>
      </c>
      <c r="J17" s="256" t="s">
        <v>52</v>
      </c>
      <c r="K17" s="256" t="s">
        <v>206</v>
      </c>
      <c r="L17" s="257" t="s">
        <v>205</v>
      </c>
      <c r="M17" s="256" t="s">
        <v>207</v>
      </c>
      <c r="N17" s="257" t="s">
        <v>204</v>
      </c>
    </row>
    <row r="18" spans="2:14" x14ac:dyDescent="0.25">
      <c r="B18" s="16"/>
      <c r="C18" s="19">
        <v>42095</v>
      </c>
      <c r="D18" s="305"/>
      <c r="E18" s="305"/>
      <c r="F18" s="305"/>
      <c r="G18" s="306">
        <v>2193210.0299999998</v>
      </c>
      <c r="L18" s="258"/>
      <c r="N18" s="258"/>
    </row>
    <row r="19" spans="2:14" x14ac:dyDescent="0.25">
      <c r="B19" s="30">
        <v>1</v>
      </c>
      <c r="C19" s="19">
        <v>42186</v>
      </c>
      <c r="D19" s="305">
        <v>94734.89</v>
      </c>
      <c r="E19" s="305">
        <v>13305.47</v>
      </c>
      <c r="F19" s="305">
        <v>81429.42</v>
      </c>
      <c r="G19" s="305">
        <v>2111780.61</v>
      </c>
      <c r="I19" s="261" t="s">
        <v>55</v>
      </c>
      <c r="J19" s="32">
        <f>D19</f>
        <v>94734.89</v>
      </c>
      <c r="K19" s="32">
        <f>E19</f>
        <v>13305.47</v>
      </c>
      <c r="L19" s="264">
        <f>E44-K19</f>
        <v>164782.62999999995</v>
      </c>
      <c r="M19" s="32">
        <f>F19</f>
        <v>81429.42</v>
      </c>
      <c r="N19" s="264">
        <f>G19</f>
        <v>2111780.61</v>
      </c>
    </row>
    <row r="20" spans="2:14" x14ac:dyDescent="0.25">
      <c r="B20" s="30">
        <v>2</v>
      </c>
      <c r="C20" s="19">
        <v>42278</v>
      </c>
      <c r="D20" s="305">
        <v>94734.89</v>
      </c>
      <c r="E20" s="305">
        <v>12952.25</v>
      </c>
      <c r="F20" s="305">
        <v>81782.64</v>
      </c>
      <c r="G20" s="305">
        <v>2029997.97</v>
      </c>
      <c r="L20" s="258"/>
      <c r="N20" s="258"/>
    </row>
    <row r="21" spans="2:14" x14ac:dyDescent="0.25">
      <c r="B21" s="30">
        <v>3</v>
      </c>
      <c r="C21" s="19">
        <v>42370</v>
      </c>
      <c r="D21" s="305">
        <v>94734.89</v>
      </c>
      <c r="E21" s="305">
        <v>12450.65</v>
      </c>
      <c r="F21" s="305">
        <v>82284.240000000005</v>
      </c>
      <c r="G21" s="305">
        <v>1947713.74</v>
      </c>
      <c r="L21" s="258"/>
      <c r="N21" s="258"/>
    </row>
    <row r="22" spans="2:14" x14ac:dyDescent="0.25">
      <c r="B22" s="30">
        <v>4</v>
      </c>
      <c r="C22" s="19">
        <v>42461</v>
      </c>
      <c r="D22" s="305">
        <v>94734.89</v>
      </c>
      <c r="E22" s="305">
        <v>11816.13</v>
      </c>
      <c r="F22" s="305">
        <v>82918.759999999995</v>
      </c>
      <c r="G22" s="305">
        <v>1864794.97</v>
      </c>
      <c r="L22" s="258"/>
      <c r="N22" s="258"/>
    </row>
    <row r="23" spans="2:14" x14ac:dyDescent="0.25">
      <c r="B23" s="30">
        <v>5</v>
      </c>
      <c r="C23" s="19">
        <v>42552</v>
      </c>
      <c r="D23" s="305">
        <v>94734.89</v>
      </c>
      <c r="E23" s="305">
        <v>11313.09</v>
      </c>
      <c r="F23" s="305">
        <v>83421.8</v>
      </c>
      <c r="G23" s="305">
        <v>1781373.17</v>
      </c>
      <c r="I23" s="261" t="s">
        <v>56</v>
      </c>
      <c r="J23" s="32">
        <f>SUM(D20:D23)</f>
        <v>378939.56</v>
      </c>
      <c r="K23" s="32">
        <f>SUM(E20:E23)</f>
        <v>48532.119999999995</v>
      </c>
      <c r="L23" s="259">
        <f>L19-K23</f>
        <v>116250.50999999995</v>
      </c>
      <c r="M23" s="32">
        <f>SUM(F20:F23)</f>
        <v>330407.44</v>
      </c>
      <c r="N23" s="259">
        <f>N19-M23</f>
        <v>1781373.17</v>
      </c>
    </row>
    <row r="24" spans="2:14" x14ac:dyDescent="0.25">
      <c r="B24" s="30">
        <v>6</v>
      </c>
      <c r="C24" s="19">
        <v>42644</v>
      </c>
      <c r="D24" s="305">
        <v>94734.89</v>
      </c>
      <c r="E24" s="305">
        <v>10925.76</v>
      </c>
      <c r="F24" s="305">
        <v>83809.14</v>
      </c>
      <c r="G24" s="305">
        <v>1697564.03</v>
      </c>
      <c r="L24" s="258"/>
      <c r="N24" s="258"/>
    </row>
    <row r="25" spans="2:14" x14ac:dyDescent="0.25">
      <c r="B25" s="30">
        <v>7</v>
      </c>
      <c r="C25" s="19">
        <v>42736</v>
      </c>
      <c r="D25" s="305">
        <v>94734.89</v>
      </c>
      <c r="E25" s="305">
        <v>10411.73</v>
      </c>
      <c r="F25" s="305">
        <v>84323.17</v>
      </c>
      <c r="G25" s="305">
        <v>1613240.87</v>
      </c>
      <c r="L25" s="258"/>
      <c r="N25" s="258"/>
    </row>
    <row r="26" spans="2:14" x14ac:dyDescent="0.25">
      <c r="B26" s="30">
        <v>8</v>
      </c>
      <c r="C26" s="19">
        <v>42826</v>
      </c>
      <c r="D26" s="305">
        <v>94734.89</v>
      </c>
      <c r="E26" s="305">
        <v>9679.4500000000007</v>
      </c>
      <c r="F26" s="305">
        <v>85055.45</v>
      </c>
      <c r="G26" s="305">
        <v>1528185.42</v>
      </c>
      <c r="L26" s="258"/>
      <c r="N26" s="258"/>
    </row>
    <row r="27" spans="2:14" x14ac:dyDescent="0.25">
      <c r="B27" s="30">
        <v>9</v>
      </c>
      <c r="C27" s="19">
        <v>42917</v>
      </c>
      <c r="D27" s="305">
        <v>94734.89</v>
      </c>
      <c r="E27" s="305">
        <v>9270.99</v>
      </c>
      <c r="F27" s="305">
        <v>85463.9</v>
      </c>
      <c r="G27" s="305">
        <v>1442721.52</v>
      </c>
      <c r="I27" s="261" t="s">
        <v>57</v>
      </c>
      <c r="J27" s="32">
        <f>SUM(D24:D27)</f>
        <v>378939.56</v>
      </c>
      <c r="K27" s="32">
        <f>SUM(E24:E27)</f>
        <v>40287.93</v>
      </c>
      <c r="L27" s="259">
        <f>L23-K27</f>
        <v>75962.579999999958</v>
      </c>
      <c r="M27" s="32">
        <f>SUM(F24:F27)</f>
        <v>338651.66000000003</v>
      </c>
      <c r="N27" s="259">
        <f>N23-M27</f>
        <v>1442721.5099999998</v>
      </c>
    </row>
    <row r="28" spans="2:14" x14ac:dyDescent="0.25">
      <c r="B28" s="30">
        <v>10</v>
      </c>
      <c r="C28" s="19">
        <v>43009</v>
      </c>
      <c r="D28" s="305">
        <v>94734.89</v>
      </c>
      <c r="E28" s="305">
        <v>8848.69</v>
      </c>
      <c r="F28" s="305">
        <v>85886.2</v>
      </c>
      <c r="G28" s="305">
        <v>1356835.32</v>
      </c>
      <c r="L28" s="258"/>
      <c r="N28" s="258"/>
    </row>
    <row r="29" spans="2:14" x14ac:dyDescent="0.25">
      <c r="B29" s="30">
        <v>11</v>
      </c>
      <c r="C29" s="19">
        <v>43101</v>
      </c>
      <c r="D29" s="305">
        <v>94734.89</v>
      </c>
      <c r="E29" s="305">
        <v>8321.92</v>
      </c>
      <c r="F29" s="305">
        <v>86412.97</v>
      </c>
      <c r="G29" s="305">
        <v>1270422.3500000001</v>
      </c>
      <c r="L29" s="258"/>
      <c r="N29" s="258"/>
    </row>
    <row r="30" spans="2:14" x14ac:dyDescent="0.25">
      <c r="B30" s="31">
        <v>12</v>
      </c>
      <c r="C30" s="19">
        <v>43191</v>
      </c>
      <c r="D30" s="305">
        <v>94734.89</v>
      </c>
      <c r="E30" s="305">
        <v>7622.53</v>
      </c>
      <c r="F30" s="305">
        <v>87112.36</v>
      </c>
      <c r="G30" s="305">
        <v>1183309.99</v>
      </c>
      <c r="L30" s="258"/>
      <c r="N30" s="258"/>
    </row>
    <row r="31" spans="2:14" x14ac:dyDescent="0.25">
      <c r="B31" s="30">
        <v>13</v>
      </c>
      <c r="C31" s="19">
        <v>43282</v>
      </c>
      <c r="D31" s="305">
        <v>94734.89</v>
      </c>
      <c r="E31" s="305">
        <v>7178.75</v>
      </c>
      <c r="F31" s="305">
        <v>87556.14</v>
      </c>
      <c r="G31" s="305">
        <v>1095753.8500000001</v>
      </c>
      <c r="I31" s="261" t="s">
        <v>58</v>
      </c>
      <c r="J31" s="32">
        <f>SUM(D28:D31)</f>
        <v>378939.56</v>
      </c>
      <c r="K31" s="32">
        <f>SUM(E28:E31)</f>
        <v>31971.89</v>
      </c>
      <c r="L31" s="259">
        <f>L27-K31</f>
        <v>43990.689999999959</v>
      </c>
      <c r="M31" s="32">
        <f>SUM(F28:F31)</f>
        <v>346967.67</v>
      </c>
      <c r="N31" s="259">
        <f>N27-M31</f>
        <v>1095753.8399999999</v>
      </c>
    </row>
    <row r="32" spans="2:14" x14ac:dyDescent="0.25">
      <c r="B32" s="31">
        <v>14</v>
      </c>
      <c r="C32" s="19">
        <v>43374</v>
      </c>
      <c r="D32" s="305">
        <v>94734.89</v>
      </c>
      <c r="E32" s="305">
        <v>6720.62</v>
      </c>
      <c r="F32" s="305">
        <v>88014.27</v>
      </c>
      <c r="G32" s="305">
        <v>1007739.58</v>
      </c>
      <c r="L32" s="258"/>
      <c r="N32" s="258"/>
    </row>
    <row r="33" spans="2:14" x14ac:dyDescent="0.25">
      <c r="B33" s="31">
        <v>15</v>
      </c>
      <c r="C33" s="19">
        <v>43466</v>
      </c>
      <c r="D33" s="305">
        <v>94734.89</v>
      </c>
      <c r="E33" s="305">
        <v>6180.8</v>
      </c>
      <c r="F33" s="305">
        <v>88554.09</v>
      </c>
      <c r="G33" s="305">
        <v>919185.49</v>
      </c>
      <c r="L33" s="258"/>
      <c r="N33" s="258"/>
    </row>
    <row r="34" spans="2:14" x14ac:dyDescent="0.25">
      <c r="B34" s="31">
        <v>16</v>
      </c>
      <c r="C34" s="19">
        <v>43556</v>
      </c>
      <c r="D34" s="305">
        <v>94734.89</v>
      </c>
      <c r="E34" s="305">
        <v>5515.11</v>
      </c>
      <c r="F34" s="305">
        <v>89219.78</v>
      </c>
      <c r="G34" s="305">
        <v>829965.71</v>
      </c>
      <c r="L34" s="258"/>
      <c r="N34" s="258"/>
    </row>
    <row r="35" spans="2:14" x14ac:dyDescent="0.25">
      <c r="B35" s="31">
        <v>17</v>
      </c>
      <c r="C35" s="19">
        <v>43647</v>
      </c>
      <c r="D35" s="305">
        <v>94734.89</v>
      </c>
      <c r="E35" s="305">
        <v>5035.13</v>
      </c>
      <c r="F35" s="305">
        <v>89699.77</v>
      </c>
      <c r="G35" s="305">
        <v>740265.94</v>
      </c>
      <c r="I35" s="261" t="s">
        <v>59</v>
      </c>
      <c r="J35" s="32">
        <f>SUM(D32:D35)</f>
        <v>378939.56</v>
      </c>
      <c r="K35" s="32">
        <f>SUM(E32:E35)</f>
        <v>23451.66</v>
      </c>
      <c r="L35" s="259">
        <f>L31-K35</f>
        <v>20539.029999999959</v>
      </c>
      <c r="M35" s="32">
        <f>SUM(F32:F35)</f>
        <v>355487.91000000003</v>
      </c>
      <c r="N35" s="259">
        <f>N31-M35</f>
        <v>740265.92999999982</v>
      </c>
    </row>
    <row r="36" spans="2:14" x14ac:dyDescent="0.25">
      <c r="B36" s="31">
        <v>18</v>
      </c>
      <c r="C36" s="19">
        <v>43739</v>
      </c>
      <c r="D36" s="305">
        <v>94734.89</v>
      </c>
      <c r="E36" s="305">
        <v>4540.3</v>
      </c>
      <c r="F36" s="305">
        <v>90194.59</v>
      </c>
      <c r="G36" s="305">
        <v>650071.35</v>
      </c>
      <c r="L36" s="258"/>
      <c r="N36" s="258"/>
    </row>
    <row r="37" spans="2:14" x14ac:dyDescent="0.25">
      <c r="B37" s="31">
        <v>19</v>
      </c>
      <c r="C37" s="19">
        <v>43831</v>
      </c>
      <c r="D37" s="305">
        <v>94734.89</v>
      </c>
      <c r="E37" s="305">
        <v>3987.1</v>
      </c>
      <c r="F37" s="305">
        <v>90747.79</v>
      </c>
      <c r="G37" s="305">
        <v>559323.56000000006</v>
      </c>
      <c r="L37" s="258"/>
      <c r="N37" s="258"/>
    </row>
    <row r="38" spans="2:14" x14ac:dyDescent="0.25">
      <c r="B38" s="31">
        <v>20</v>
      </c>
      <c r="C38" s="19">
        <v>43922</v>
      </c>
      <c r="D38" s="305">
        <v>94734.89</v>
      </c>
      <c r="E38" s="305">
        <v>3393.23</v>
      </c>
      <c r="F38" s="305">
        <v>91341.66</v>
      </c>
      <c r="G38" s="305">
        <v>467981.9</v>
      </c>
      <c r="L38" s="258"/>
      <c r="N38" s="258"/>
    </row>
    <row r="39" spans="2:14" x14ac:dyDescent="0.25">
      <c r="B39" s="31">
        <v>21</v>
      </c>
      <c r="C39" s="19">
        <v>44013</v>
      </c>
      <c r="D39" s="305">
        <v>94734.89</v>
      </c>
      <c r="E39" s="305">
        <v>2839.09</v>
      </c>
      <c r="F39" s="305">
        <v>91895.8</v>
      </c>
      <c r="G39" s="305">
        <v>376086.1</v>
      </c>
      <c r="I39" s="261" t="s">
        <v>60</v>
      </c>
      <c r="J39" s="32">
        <f>SUM(D36:D39)</f>
        <v>378939.56</v>
      </c>
      <c r="K39" s="32">
        <f>SUM(E36:E39)</f>
        <v>14759.72</v>
      </c>
      <c r="L39" s="259">
        <f>L35-K39</f>
        <v>5779.3099999999595</v>
      </c>
      <c r="M39" s="32">
        <f>SUM(F36:F39)</f>
        <v>364179.84</v>
      </c>
      <c r="N39" s="259">
        <f>N35-M39</f>
        <v>376086.08999999979</v>
      </c>
    </row>
    <row r="40" spans="2:14" x14ac:dyDescent="0.25">
      <c r="B40" s="31">
        <v>22</v>
      </c>
      <c r="C40" s="19">
        <v>44105</v>
      </c>
      <c r="D40" s="305">
        <v>94734.89</v>
      </c>
      <c r="E40" s="305">
        <v>2306.66</v>
      </c>
      <c r="F40" s="305">
        <v>92428.23</v>
      </c>
      <c r="G40" s="305">
        <v>283657.87</v>
      </c>
      <c r="L40" s="258"/>
      <c r="N40" s="258"/>
    </row>
    <row r="41" spans="2:14" x14ac:dyDescent="0.25">
      <c r="B41" s="31">
        <v>23</v>
      </c>
      <c r="C41" s="19">
        <v>44197</v>
      </c>
      <c r="D41" s="305">
        <v>94734.89</v>
      </c>
      <c r="E41" s="305">
        <v>1739.77</v>
      </c>
      <c r="F41" s="305">
        <v>92995.12</v>
      </c>
      <c r="G41" s="305">
        <v>190662.74</v>
      </c>
      <c r="L41" s="258"/>
      <c r="N41" s="258"/>
    </row>
    <row r="42" spans="2:14" x14ac:dyDescent="0.25">
      <c r="B42" s="31">
        <v>24</v>
      </c>
      <c r="C42" s="19">
        <v>44287</v>
      </c>
      <c r="D42" s="305">
        <v>94734.89</v>
      </c>
      <c r="E42" s="305">
        <v>1143.98</v>
      </c>
      <c r="F42" s="305">
        <v>93590.92</v>
      </c>
      <c r="G42" s="305">
        <v>97071.83</v>
      </c>
      <c r="L42" s="258"/>
      <c r="N42" s="258"/>
    </row>
    <row r="43" spans="2:14" x14ac:dyDescent="0.25">
      <c r="B43" s="30">
        <v>25</v>
      </c>
      <c r="C43" s="19">
        <v>44378</v>
      </c>
      <c r="D43" s="305">
        <v>97660.73</v>
      </c>
      <c r="E43" s="305">
        <v>588.9</v>
      </c>
      <c r="F43" s="305">
        <v>97071.83</v>
      </c>
      <c r="G43" s="305">
        <v>0</v>
      </c>
      <c r="I43" s="261" t="s">
        <v>61</v>
      </c>
      <c r="J43" s="32">
        <f>SUM(D40:D43)</f>
        <v>381865.39999999997</v>
      </c>
      <c r="K43" s="32">
        <f>SUM(E40:E43)</f>
        <v>5779.3099999999995</v>
      </c>
      <c r="L43" s="259">
        <f>L39-K43</f>
        <v>-4.0017766878008842E-11</v>
      </c>
      <c r="M43" s="32">
        <f>SUM(F40:F43)</f>
        <v>376086.1</v>
      </c>
      <c r="N43" s="259">
        <f>N39-M43</f>
        <v>-1.0000000183936208E-2</v>
      </c>
    </row>
    <row r="44" spans="2:14" x14ac:dyDescent="0.25">
      <c r="B44" s="16"/>
      <c r="C44" s="16"/>
      <c r="D44" s="305">
        <f>SUM(D19:D43)</f>
        <v>2371298.0899999989</v>
      </c>
      <c r="E44" s="305">
        <f>SUM(E19:E43)</f>
        <v>178088.09999999995</v>
      </c>
      <c r="F44" s="305">
        <f>SUM(F19:F43)</f>
        <v>2193210.04</v>
      </c>
      <c r="G44" s="305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1245-146B-4C99-8475-A97F14F4BE55}">
  <dimension ref="B2:K28"/>
  <sheetViews>
    <sheetView workbookViewId="0">
      <selection activeCell="F11" sqref="F11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2.5703125" bestFit="1" customWidth="1"/>
    <col min="7" max="7" width="13.7109375" bestFit="1" customWidth="1"/>
    <col min="8" max="8" width="14.28515625" bestFit="1" customWidth="1"/>
    <col min="9" max="9" width="12.5703125" bestFit="1" customWidth="1"/>
    <col min="10" max="10" width="14.7109375" bestFit="1" customWidth="1"/>
  </cols>
  <sheetData>
    <row r="2" spans="2:11" x14ac:dyDescent="0.25">
      <c r="B2" s="2" t="s">
        <v>34</v>
      </c>
      <c r="C2" s="2"/>
      <c r="D2" s="2"/>
      <c r="E2" s="2"/>
      <c r="F2" s="2"/>
      <c r="G2" s="2"/>
      <c r="H2" s="2"/>
      <c r="I2" s="2"/>
      <c r="J2" s="2"/>
    </row>
    <row r="3" spans="2:11" x14ac:dyDescent="0.25">
      <c r="B3" s="2" t="s">
        <v>35</v>
      </c>
      <c r="C3" s="2"/>
      <c r="D3" s="2"/>
      <c r="E3" s="2"/>
      <c r="F3" s="2"/>
      <c r="G3" s="2"/>
      <c r="H3" s="2"/>
      <c r="I3" s="2"/>
      <c r="J3" s="2"/>
      <c r="K3" s="26"/>
    </row>
    <row r="4" spans="2:11" x14ac:dyDescent="0.25">
      <c r="B4" s="2" t="s">
        <v>47</v>
      </c>
      <c r="C4" s="2"/>
      <c r="D4" s="2"/>
      <c r="E4" s="2"/>
      <c r="F4" s="2"/>
      <c r="G4" s="2"/>
      <c r="H4" s="2"/>
      <c r="I4" s="2"/>
      <c r="J4" s="2"/>
    </row>
    <row r="5" spans="2:11" x14ac:dyDescent="0.25">
      <c r="B5" s="15"/>
      <c r="C5" s="15"/>
      <c r="D5" s="15"/>
      <c r="E5" s="15"/>
      <c r="F5" s="15"/>
      <c r="G5" s="15"/>
    </row>
    <row r="6" spans="2:11" x14ac:dyDescent="0.25">
      <c r="B6" s="21" t="s">
        <v>36</v>
      </c>
      <c r="C6" s="15"/>
      <c r="D6" s="23" t="s">
        <v>42</v>
      </c>
      <c r="E6" s="15"/>
      <c r="F6" s="15"/>
      <c r="G6" s="15"/>
    </row>
    <row r="7" spans="2:11" x14ac:dyDescent="0.25">
      <c r="B7" s="21" t="s">
        <v>37</v>
      </c>
      <c r="C7" s="15"/>
      <c r="D7" s="24">
        <v>1150000</v>
      </c>
      <c r="E7" s="15"/>
      <c r="F7" s="15"/>
      <c r="G7" s="15"/>
    </row>
    <row r="8" spans="2:11" x14ac:dyDescent="0.25">
      <c r="B8" s="21" t="s">
        <v>38</v>
      </c>
      <c r="C8" s="15"/>
      <c r="D8" s="28">
        <v>2.2499999999999999E-2</v>
      </c>
      <c r="E8" s="15"/>
      <c r="F8" s="15"/>
      <c r="G8" s="15"/>
    </row>
    <row r="9" spans="2:11" x14ac:dyDescent="0.25">
      <c r="B9" s="21" t="s">
        <v>39</v>
      </c>
      <c r="C9" s="15"/>
      <c r="D9" s="29">
        <v>7</v>
      </c>
      <c r="E9" s="15"/>
      <c r="F9" s="15"/>
      <c r="G9" s="15"/>
    </row>
    <row r="10" spans="2:11" x14ac:dyDescent="0.25">
      <c r="B10" s="21" t="s">
        <v>40</v>
      </c>
      <c r="C10" s="15"/>
      <c r="D10" s="29">
        <v>1</v>
      </c>
      <c r="E10" s="15"/>
      <c r="F10" s="15"/>
      <c r="G10" s="15"/>
    </row>
    <row r="11" spans="2:11" x14ac:dyDescent="0.25">
      <c r="B11" s="21" t="s">
        <v>41</v>
      </c>
      <c r="C11" s="15"/>
      <c r="D11" s="29">
        <v>360</v>
      </c>
      <c r="E11" s="25" t="s">
        <v>43</v>
      </c>
      <c r="F11" s="15"/>
      <c r="G11" s="15"/>
    </row>
    <row r="12" spans="2:11" x14ac:dyDescent="0.25">
      <c r="B12" s="21"/>
      <c r="C12" s="15"/>
      <c r="D12" s="29"/>
      <c r="E12" s="25"/>
      <c r="F12" s="15"/>
      <c r="G12" s="15"/>
    </row>
    <row r="13" spans="2:11" x14ac:dyDescent="0.25">
      <c r="B13" s="21" t="s">
        <v>44</v>
      </c>
      <c r="C13" s="15"/>
      <c r="D13" s="27">
        <v>41690</v>
      </c>
      <c r="E13" s="15" t="s">
        <v>46</v>
      </c>
      <c r="F13" s="27">
        <v>44247</v>
      </c>
      <c r="G13" s="15"/>
    </row>
    <row r="14" spans="2:11" x14ac:dyDescent="0.25">
      <c r="B14" s="21" t="s">
        <v>45</v>
      </c>
      <c r="C14" s="15"/>
      <c r="D14" s="27">
        <v>42055</v>
      </c>
      <c r="E14" s="15"/>
      <c r="F14" s="15"/>
      <c r="G14" s="15"/>
    </row>
    <row r="15" spans="2:11" ht="20.25" customHeight="1" x14ac:dyDescent="0.25"/>
    <row r="17" spans="2:10" x14ac:dyDescent="0.25">
      <c r="B17" s="16" t="s">
        <v>28</v>
      </c>
      <c r="C17" s="16" t="s">
        <v>29</v>
      </c>
      <c r="D17" s="17">
        <v>1150000</v>
      </c>
      <c r="E17" s="16"/>
      <c r="F17" s="16"/>
      <c r="G17" s="16"/>
      <c r="H17" s="16"/>
      <c r="I17" s="16"/>
      <c r="J17" s="16"/>
    </row>
    <row r="18" spans="2:10" s="261" customFormat="1" ht="25.5" x14ac:dyDescent="0.25">
      <c r="B18" s="139" t="s">
        <v>30</v>
      </c>
      <c r="C18" s="139" t="s">
        <v>31</v>
      </c>
      <c r="D18" s="139" t="s">
        <v>32</v>
      </c>
      <c r="E18" s="139" t="s">
        <v>4</v>
      </c>
      <c r="F18" s="263" t="s">
        <v>118</v>
      </c>
      <c r="G18" s="139" t="s">
        <v>3</v>
      </c>
      <c r="H18" s="263" t="s">
        <v>97</v>
      </c>
      <c r="I18" s="139" t="s">
        <v>32</v>
      </c>
      <c r="J18" s="139" t="s">
        <v>33</v>
      </c>
    </row>
    <row r="19" spans="2:10" s="261" customFormat="1" x14ac:dyDescent="0.25">
      <c r="B19" s="139"/>
      <c r="C19" s="19">
        <v>41690</v>
      </c>
      <c r="D19" s="305"/>
      <c r="E19" s="305"/>
      <c r="F19" s="307">
        <v>113118.63</v>
      </c>
      <c r="G19" s="305"/>
      <c r="H19" s="307">
        <v>1150000</v>
      </c>
      <c r="I19" s="305"/>
      <c r="J19" s="305"/>
    </row>
    <row r="20" spans="2:10" x14ac:dyDescent="0.25">
      <c r="B20" s="18">
        <v>1</v>
      </c>
      <c r="C20" s="19">
        <v>42055</v>
      </c>
      <c r="D20" s="305">
        <v>134000</v>
      </c>
      <c r="E20" s="305">
        <v>25875</v>
      </c>
      <c r="F20" s="307">
        <f>F19-E20</f>
        <v>87243.63</v>
      </c>
      <c r="G20" s="305">
        <v>108125</v>
      </c>
      <c r="H20" s="307">
        <f>H19-G20</f>
        <v>1041875</v>
      </c>
      <c r="I20" s="305">
        <f>G20+E20</f>
        <v>134000</v>
      </c>
      <c r="J20" s="305">
        <f>H20+F20</f>
        <v>1129118.6299999999</v>
      </c>
    </row>
    <row r="21" spans="2:10" x14ac:dyDescent="0.25">
      <c r="B21" s="18">
        <v>2</v>
      </c>
      <c r="C21" s="19">
        <v>42420</v>
      </c>
      <c r="D21" s="305">
        <v>134000</v>
      </c>
      <c r="E21" s="305">
        <v>23442.19</v>
      </c>
      <c r="F21" s="307">
        <f>F20-E21</f>
        <v>63801.440000000002</v>
      </c>
      <c r="G21" s="305">
        <v>110557.81</v>
      </c>
      <c r="H21" s="307">
        <f>H20-G21</f>
        <v>931317.19</v>
      </c>
      <c r="I21" s="305">
        <f t="shared" ref="I21:J26" si="0">G21+E21</f>
        <v>134000</v>
      </c>
      <c r="J21" s="305">
        <f t="shared" si="0"/>
        <v>995118.62999999989</v>
      </c>
    </row>
    <row r="22" spans="2:10" x14ac:dyDescent="0.25">
      <c r="B22" s="18">
        <v>3</v>
      </c>
      <c r="C22" s="19">
        <v>42786</v>
      </c>
      <c r="D22" s="305">
        <v>199000</v>
      </c>
      <c r="E22" s="305">
        <v>20954.64</v>
      </c>
      <c r="F22" s="307">
        <f>F21-E22</f>
        <v>42846.8</v>
      </c>
      <c r="G22" s="305">
        <v>178045.36</v>
      </c>
      <c r="H22" s="307">
        <f t="shared" ref="F22:H26" si="1">H21-G22</f>
        <v>753271.83</v>
      </c>
      <c r="I22" s="305">
        <f t="shared" si="0"/>
        <v>199000</v>
      </c>
      <c r="J22" s="305">
        <f t="shared" si="0"/>
        <v>796118.63</v>
      </c>
    </row>
    <row r="23" spans="2:10" x14ac:dyDescent="0.25">
      <c r="B23" s="18">
        <v>4</v>
      </c>
      <c r="C23" s="19">
        <v>43151</v>
      </c>
      <c r="D23" s="305">
        <v>199000</v>
      </c>
      <c r="E23" s="305">
        <v>16948.62</v>
      </c>
      <c r="F23" s="307">
        <f t="shared" si="1"/>
        <v>25898.180000000004</v>
      </c>
      <c r="G23" s="305">
        <v>182051.38</v>
      </c>
      <c r="H23" s="307">
        <f>H22-G23</f>
        <v>571220.44999999995</v>
      </c>
      <c r="I23" s="305">
        <f t="shared" si="0"/>
        <v>199000</v>
      </c>
      <c r="J23" s="305">
        <f t="shared" si="0"/>
        <v>597118.63</v>
      </c>
    </row>
    <row r="24" spans="2:10" x14ac:dyDescent="0.25">
      <c r="B24" s="20">
        <v>5</v>
      </c>
      <c r="C24" s="19">
        <v>43516</v>
      </c>
      <c r="D24" s="305">
        <v>199000</v>
      </c>
      <c r="E24" s="305">
        <v>12852.46</v>
      </c>
      <c r="F24" s="307">
        <f>F23-E24</f>
        <v>13045.720000000005</v>
      </c>
      <c r="G24" s="305">
        <v>186147.54</v>
      </c>
      <c r="H24" s="307">
        <f t="shared" si="1"/>
        <v>385072.90999999992</v>
      </c>
      <c r="I24" s="305">
        <f t="shared" si="0"/>
        <v>199000</v>
      </c>
      <c r="J24" s="305">
        <f t="shared" si="0"/>
        <v>398118.62999999995</v>
      </c>
    </row>
    <row r="25" spans="2:10" x14ac:dyDescent="0.25">
      <c r="B25" s="20">
        <v>6</v>
      </c>
      <c r="C25" s="19">
        <v>43881</v>
      </c>
      <c r="D25" s="305">
        <v>199000</v>
      </c>
      <c r="E25" s="305">
        <v>8664.14</v>
      </c>
      <c r="F25" s="307">
        <f t="shared" si="1"/>
        <v>4381.5800000000054</v>
      </c>
      <c r="G25" s="305">
        <v>190335.86</v>
      </c>
      <c r="H25" s="307">
        <f t="shared" si="1"/>
        <v>194737.04999999993</v>
      </c>
      <c r="I25" s="305">
        <f t="shared" si="0"/>
        <v>199000</v>
      </c>
      <c r="J25" s="305">
        <f t="shared" si="0"/>
        <v>199118.62999999995</v>
      </c>
    </row>
    <row r="26" spans="2:10" x14ac:dyDescent="0.25">
      <c r="B26" s="20">
        <v>7</v>
      </c>
      <c r="C26" s="19">
        <v>44247</v>
      </c>
      <c r="D26" s="305">
        <v>199118.63</v>
      </c>
      <c r="E26" s="305">
        <v>4381.58</v>
      </c>
      <c r="F26" s="307">
        <f t="shared" si="1"/>
        <v>0</v>
      </c>
      <c r="G26" s="305">
        <v>194737.05</v>
      </c>
      <c r="H26" s="307">
        <f t="shared" si="1"/>
        <v>0</v>
      </c>
      <c r="I26" s="305">
        <f t="shared" si="0"/>
        <v>199118.62999999998</v>
      </c>
      <c r="J26" s="305">
        <f>H26+F26</f>
        <v>0</v>
      </c>
    </row>
    <row r="27" spans="2:10" x14ac:dyDescent="0.25">
      <c r="B27" s="16"/>
      <c r="C27" s="16"/>
      <c r="D27" s="16"/>
      <c r="E27" s="16"/>
      <c r="F27" s="16"/>
      <c r="G27" s="16"/>
      <c r="H27" s="16"/>
      <c r="I27" s="16"/>
      <c r="J27" s="16"/>
    </row>
    <row r="28" spans="2:10" x14ac:dyDescent="0.25">
      <c r="B28" s="16"/>
      <c r="C28" s="16"/>
      <c r="D28" s="17">
        <f>SUM(D20:D27)</f>
        <v>1263118.6299999999</v>
      </c>
      <c r="E28" s="17">
        <f>SUM(E20:E27)</f>
        <v>113118.63</v>
      </c>
      <c r="F28" s="17"/>
      <c r="G28" s="17">
        <f>SUM(G20:G27)</f>
        <v>1150000</v>
      </c>
      <c r="H28" s="17"/>
      <c r="I28" s="16"/>
      <c r="J28" s="16"/>
    </row>
  </sheetData>
  <mergeCells count="3">
    <mergeCell ref="B2:J2"/>
    <mergeCell ref="B4:J4"/>
    <mergeCell ref="B3:J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5435-F872-44D0-8621-9C3C935DF844}">
  <dimension ref="B2:P46"/>
  <sheetViews>
    <sheetView topLeftCell="A16" workbookViewId="0">
      <selection activeCell="P19" sqref="P19"/>
    </sheetView>
  </sheetViews>
  <sheetFormatPr defaultRowHeight="15" x14ac:dyDescent="0.25"/>
  <cols>
    <col min="2" max="2" width="9.85546875" bestFit="1" customWidth="1"/>
    <col min="3" max="3" width="11.28515625" bestFit="1" customWidth="1"/>
    <col min="4" max="4" width="14.28515625" bestFit="1" customWidth="1"/>
    <col min="5" max="5" width="13.28515625" bestFit="1" customWidth="1"/>
    <col min="6" max="6" width="13.5703125" bestFit="1" customWidth="1"/>
    <col min="7" max="7" width="16.140625" bestFit="1" customWidth="1"/>
    <col min="8" max="9" width="16.140625" customWidth="1"/>
    <col min="10" max="10" width="13.5703125" bestFit="1" customWidth="1"/>
    <col min="11" max="11" width="13.5703125" style="1" bestFit="1" customWidth="1"/>
    <col min="12" max="12" width="14.28515625" bestFit="1" customWidth="1"/>
    <col min="13" max="13" width="14.28515625" customWidth="1"/>
    <col min="14" max="14" width="13.28515625" bestFit="1" customWidth="1"/>
    <col min="15" max="15" width="13.5703125" bestFit="1" customWidth="1"/>
    <col min="16" max="16" width="16.140625" bestFit="1" customWidth="1"/>
  </cols>
  <sheetData>
    <row r="2" spans="2:14" x14ac:dyDescent="0.25">
      <c r="B2" s="2" t="s">
        <v>34</v>
      </c>
      <c r="C2" s="2"/>
      <c r="D2" s="2"/>
      <c r="E2" s="2"/>
      <c r="F2" s="2"/>
      <c r="G2" s="2"/>
      <c r="H2" s="15"/>
      <c r="I2" s="15"/>
      <c r="J2" s="26"/>
      <c r="K2" s="15"/>
      <c r="L2" s="26"/>
      <c r="M2" s="26"/>
      <c r="N2" s="26"/>
    </row>
    <row r="3" spans="2:14" x14ac:dyDescent="0.25">
      <c r="B3" s="2" t="s">
        <v>35</v>
      </c>
      <c r="C3" s="2"/>
      <c r="D3" s="2"/>
      <c r="E3" s="2"/>
      <c r="F3" s="2"/>
      <c r="G3" s="2"/>
      <c r="H3" s="15"/>
      <c r="I3" s="15"/>
      <c r="J3" s="26"/>
      <c r="K3" s="15"/>
      <c r="L3" s="26"/>
      <c r="M3" s="26"/>
      <c r="N3" s="26"/>
    </row>
    <row r="4" spans="2:14" x14ac:dyDescent="0.25">
      <c r="B4" s="2" t="s">
        <v>113</v>
      </c>
      <c r="C4" s="2"/>
      <c r="D4" s="2"/>
      <c r="E4" s="2"/>
      <c r="F4" s="2"/>
      <c r="G4" s="2"/>
      <c r="H4" s="15"/>
      <c r="I4" s="15"/>
      <c r="J4" s="26"/>
      <c r="K4" s="15"/>
      <c r="L4" s="26"/>
      <c r="M4" s="26"/>
      <c r="N4" s="26"/>
    </row>
    <row r="5" spans="2:14" x14ac:dyDescent="0.25">
      <c r="B5" s="15"/>
      <c r="C5" s="15"/>
      <c r="D5" s="15"/>
      <c r="E5" s="15"/>
      <c r="F5" s="15"/>
      <c r="G5" s="15"/>
      <c r="H5" s="15"/>
      <c r="I5" s="15"/>
    </row>
    <row r="6" spans="2:14" x14ac:dyDescent="0.25">
      <c r="B6" s="21" t="s">
        <v>36</v>
      </c>
      <c r="C6" s="15"/>
      <c r="D6" s="23" t="s">
        <v>42</v>
      </c>
      <c r="E6" s="15"/>
      <c r="F6" s="15"/>
      <c r="G6" s="15"/>
      <c r="H6" s="15"/>
      <c r="I6" s="15"/>
    </row>
    <row r="7" spans="2:14" x14ac:dyDescent="0.25">
      <c r="B7" s="21" t="s">
        <v>37</v>
      </c>
      <c r="C7" s="15"/>
      <c r="D7" s="24">
        <v>850000</v>
      </c>
      <c r="E7" s="15"/>
      <c r="F7" s="15"/>
      <c r="G7" s="15"/>
      <c r="H7" s="15"/>
      <c r="I7" s="15"/>
    </row>
    <row r="8" spans="2:14" x14ac:dyDescent="0.25">
      <c r="B8" s="21" t="s">
        <v>38</v>
      </c>
      <c r="C8" s="15"/>
      <c r="D8" s="28">
        <v>2.4E-2</v>
      </c>
      <c r="E8" s="15"/>
      <c r="F8" s="15"/>
      <c r="G8" s="15"/>
      <c r="H8" s="15"/>
      <c r="I8" s="15"/>
    </row>
    <row r="9" spans="2:14" x14ac:dyDescent="0.25">
      <c r="B9" s="21" t="s">
        <v>114</v>
      </c>
      <c r="C9" s="15"/>
      <c r="D9" s="29">
        <v>28</v>
      </c>
      <c r="E9" s="15" t="s">
        <v>115</v>
      </c>
      <c r="F9" s="15">
        <v>7</v>
      </c>
      <c r="G9" s="15"/>
      <c r="H9" s="15"/>
      <c r="I9" s="15"/>
    </row>
    <row r="10" spans="2:14" x14ac:dyDescent="0.25">
      <c r="B10" s="21" t="s">
        <v>40</v>
      </c>
      <c r="C10" s="15"/>
      <c r="D10" s="29">
        <v>4</v>
      </c>
      <c r="E10" s="15" t="s">
        <v>116</v>
      </c>
      <c r="F10" s="15">
        <v>7</v>
      </c>
      <c r="G10" s="15"/>
      <c r="H10" s="15"/>
      <c r="I10" s="15"/>
    </row>
    <row r="11" spans="2:14" x14ac:dyDescent="0.25">
      <c r="B11" s="21" t="s">
        <v>41</v>
      </c>
      <c r="C11" s="15"/>
      <c r="D11" s="29">
        <v>360</v>
      </c>
      <c r="E11" s="25"/>
      <c r="F11" s="15"/>
      <c r="G11" s="15"/>
      <c r="H11" s="15"/>
      <c r="I11" s="15"/>
    </row>
    <row r="12" spans="2:14" x14ac:dyDescent="0.25">
      <c r="B12" s="21"/>
      <c r="C12" s="15"/>
      <c r="D12" s="29"/>
      <c r="E12" s="25"/>
      <c r="F12" s="15"/>
      <c r="G12" s="15"/>
      <c r="H12" s="15"/>
      <c r="I12" s="15"/>
    </row>
    <row r="13" spans="2:14" x14ac:dyDescent="0.25">
      <c r="B13" s="21" t="s">
        <v>44</v>
      </c>
      <c r="C13" s="15"/>
      <c r="D13" s="27">
        <v>42088</v>
      </c>
      <c r="E13" s="15" t="s">
        <v>46</v>
      </c>
      <c r="F13" s="27">
        <v>44767</v>
      </c>
      <c r="G13" s="15"/>
      <c r="H13" s="15"/>
      <c r="I13" s="15"/>
    </row>
    <row r="14" spans="2:14" x14ac:dyDescent="0.25">
      <c r="B14" s="21" t="s">
        <v>45</v>
      </c>
      <c r="C14" s="15"/>
      <c r="D14" s="27">
        <v>42302</v>
      </c>
      <c r="E14" s="15"/>
      <c r="F14" s="15"/>
      <c r="G14" s="15"/>
      <c r="H14" s="15"/>
      <c r="I14" s="15"/>
    </row>
    <row r="17" spans="2:16" ht="31.5" x14ac:dyDescent="0.25">
      <c r="B17" s="69" t="s">
        <v>117</v>
      </c>
      <c r="C17" s="69" t="s">
        <v>31</v>
      </c>
      <c r="D17" s="70" t="s">
        <v>32</v>
      </c>
      <c r="E17" s="71" t="s">
        <v>4</v>
      </c>
      <c r="F17" s="71" t="s">
        <v>118</v>
      </c>
      <c r="G17" s="70" t="s">
        <v>3</v>
      </c>
      <c r="H17" s="69" t="s">
        <v>97</v>
      </c>
      <c r="I17" s="69" t="s">
        <v>119</v>
      </c>
      <c r="K17" s="262" t="s">
        <v>208</v>
      </c>
      <c r="L17" s="256" t="s">
        <v>52</v>
      </c>
      <c r="M17" s="256" t="s">
        <v>206</v>
      </c>
      <c r="N17" s="257" t="s">
        <v>205</v>
      </c>
      <c r="O17" s="256" t="s">
        <v>207</v>
      </c>
      <c r="P17" s="257" t="s">
        <v>204</v>
      </c>
    </row>
    <row r="18" spans="2:16" ht="15.75" x14ac:dyDescent="0.25">
      <c r="B18" s="72">
        <v>1</v>
      </c>
      <c r="C18" s="73">
        <v>42302</v>
      </c>
      <c r="D18" s="74">
        <v>33069.279999999999</v>
      </c>
      <c r="E18" s="74">
        <v>11900</v>
      </c>
      <c r="F18" s="74">
        <f>E46-E18</f>
        <v>72031.729999999981</v>
      </c>
      <c r="G18" s="74">
        <v>21169.279999999999</v>
      </c>
      <c r="H18" s="74">
        <f>D7-G18</f>
        <v>828830.71999999997</v>
      </c>
      <c r="I18" s="74">
        <f>H18+F18</f>
        <v>900862.45</v>
      </c>
      <c r="K18" s="261" t="s">
        <v>55</v>
      </c>
      <c r="N18" s="264">
        <f>E46</f>
        <v>83931.729999999981</v>
      </c>
      <c r="P18" s="264">
        <f>D7</f>
        <v>850000</v>
      </c>
    </row>
    <row r="19" spans="2:16" ht="15.75" x14ac:dyDescent="0.25">
      <c r="B19" s="72">
        <v>2</v>
      </c>
      <c r="C19" s="73">
        <v>42394</v>
      </c>
      <c r="D19" s="74">
        <v>33069.279999999999</v>
      </c>
      <c r="E19" s="74">
        <v>4972.9799999999996</v>
      </c>
      <c r="F19" s="74">
        <f>F18-E19</f>
        <v>67058.749999999985</v>
      </c>
      <c r="G19" s="74">
        <v>28096.29</v>
      </c>
      <c r="H19" s="74">
        <f>H18-G19</f>
        <v>800734.42999999993</v>
      </c>
      <c r="I19" s="74">
        <f>H19+F19</f>
        <v>867793.17999999993</v>
      </c>
      <c r="L19" s="80"/>
      <c r="M19" s="80"/>
      <c r="N19" s="259"/>
      <c r="O19" s="32"/>
      <c r="P19" s="259"/>
    </row>
    <row r="20" spans="2:16" ht="15.75" x14ac:dyDescent="0.25">
      <c r="B20" s="72">
        <v>3</v>
      </c>
      <c r="C20" s="73">
        <v>42485</v>
      </c>
      <c r="D20" s="74">
        <v>33069.279999999999</v>
      </c>
      <c r="E20" s="75">
        <v>4804.41</v>
      </c>
      <c r="F20" s="74">
        <f t="shared" ref="F20:F45" si="0">F19-E20</f>
        <v>62254.339999999982</v>
      </c>
      <c r="G20" s="74">
        <v>28264.87</v>
      </c>
      <c r="H20" s="74">
        <f t="shared" ref="H20:H45" si="1">H19-G20</f>
        <v>772469.55999999994</v>
      </c>
      <c r="I20" s="74">
        <f>H20+F20</f>
        <v>834723.89999999991</v>
      </c>
      <c r="N20" s="258"/>
      <c r="P20" s="258"/>
    </row>
    <row r="21" spans="2:16" ht="15.75" x14ac:dyDescent="0.25">
      <c r="B21" s="72">
        <v>4</v>
      </c>
      <c r="C21" s="73">
        <v>42576</v>
      </c>
      <c r="D21" s="74">
        <v>33069.279999999999</v>
      </c>
      <c r="E21" s="74">
        <v>4634.82</v>
      </c>
      <c r="F21" s="74">
        <f t="shared" si="0"/>
        <v>57619.519999999982</v>
      </c>
      <c r="G21" s="74">
        <v>28434.46</v>
      </c>
      <c r="H21" s="74">
        <f t="shared" si="1"/>
        <v>744035.1</v>
      </c>
      <c r="I21" s="74">
        <f>H21+F21</f>
        <v>801654.62</v>
      </c>
      <c r="K21" s="1" t="s">
        <v>56</v>
      </c>
      <c r="L21" s="80">
        <f>SUM(D18:D21)</f>
        <v>132277.12</v>
      </c>
      <c r="M21" s="80">
        <f>SUM(E18:E21)</f>
        <v>26312.21</v>
      </c>
      <c r="N21" s="264">
        <f>F21</f>
        <v>57619.519999999982</v>
      </c>
      <c r="O21" s="80">
        <f>SUM(G18:G21)</f>
        <v>105964.9</v>
      </c>
      <c r="P21" s="264">
        <f>D7-O21</f>
        <v>744035.1</v>
      </c>
    </row>
    <row r="22" spans="2:16" ht="15.75" x14ac:dyDescent="0.25">
      <c r="B22" s="72">
        <v>5</v>
      </c>
      <c r="C22" s="76">
        <v>42668</v>
      </c>
      <c r="D22" s="74">
        <v>33069.279999999999</v>
      </c>
      <c r="E22" s="74">
        <v>4464.21</v>
      </c>
      <c r="F22" s="74">
        <f t="shared" si="0"/>
        <v>53155.309999999983</v>
      </c>
      <c r="G22" s="74">
        <v>28605.07</v>
      </c>
      <c r="H22" s="74">
        <f t="shared" si="1"/>
        <v>715430.03</v>
      </c>
      <c r="I22" s="74">
        <f>H22+F22</f>
        <v>768585.34</v>
      </c>
      <c r="N22" s="258"/>
      <c r="P22" s="258"/>
    </row>
    <row r="23" spans="2:16" ht="15.75" x14ac:dyDescent="0.25">
      <c r="B23" s="72">
        <v>6</v>
      </c>
      <c r="C23" s="73">
        <v>42760</v>
      </c>
      <c r="D23" s="74">
        <v>33069.279999999999</v>
      </c>
      <c r="E23" s="74">
        <v>4292.58</v>
      </c>
      <c r="F23" s="74">
        <f t="shared" si="0"/>
        <v>48862.729999999981</v>
      </c>
      <c r="G23" s="74">
        <v>28776.7</v>
      </c>
      <c r="H23" s="74">
        <f t="shared" si="1"/>
        <v>686653.33000000007</v>
      </c>
      <c r="I23" s="74">
        <f>H23+F23</f>
        <v>735516.06</v>
      </c>
      <c r="N23" s="258"/>
      <c r="P23" s="258"/>
    </row>
    <row r="24" spans="2:16" ht="15.75" x14ac:dyDescent="0.25">
      <c r="B24" s="72">
        <v>7</v>
      </c>
      <c r="C24" s="73">
        <v>42850</v>
      </c>
      <c r="D24" s="74">
        <v>33069.279999999999</v>
      </c>
      <c r="E24" s="74">
        <v>4119.92</v>
      </c>
      <c r="F24" s="74">
        <f t="shared" si="0"/>
        <v>44742.809999999983</v>
      </c>
      <c r="G24" s="74">
        <v>28949.360000000001</v>
      </c>
      <c r="H24" s="74">
        <f t="shared" si="1"/>
        <v>657703.97000000009</v>
      </c>
      <c r="I24" s="74">
        <f>H24+F24</f>
        <v>702446.78</v>
      </c>
      <c r="N24" s="258"/>
      <c r="P24" s="258"/>
    </row>
    <row r="25" spans="2:16" ht="15.75" x14ac:dyDescent="0.25">
      <c r="B25" s="72">
        <v>8</v>
      </c>
      <c r="C25" s="73">
        <v>42941</v>
      </c>
      <c r="D25" s="74">
        <v>33069.279999999999</v>
      </c>
      <c r="E25" s="75">
        <v>3946.22</v>
      </c>
      <c r="F25" s="74">
        <f t="shared" si="0"/>
        <v>40796.589999999982</v>
      </c>
      <c r="G25" s="74">
        <v>29123.05</v>
      </c>
      <c r="H25" s="74">
        <f t="shared" si="1"/>
        <v>628580.92000000004</v>
      </c>
      <c r="I25" s="74">
        <f>H25+F25</f>
        <v>669377.51</v>
      </c>
      <c r="K25" s="1" t="s">
        <v>57</v>
      </c>
      <c r="L25" s="32">
        <f>SUM(D24:D27)</f>
        <v>132277.12</v>
      </c>
      <c r="M25" s="32">
        <f>SUM(E24:E27)</f>
        <v>15433.329999999998</v>
      </c>
      <c r="N25" s="264">
        <f>F25</f>
        <v>40796.589999999982</v>
      </c>
      <c r="O25" s="80">
        <f>SUM(G22:G25)</f>
        <v>115454.18000000001</v>
      </c>
      <c r="P25" s="264">
        <f>P21-O25</f>
        <v>628580.91999999993</v>
      </c>
    </row>
    <row r="26" spans="2:16" ht="15.75" x14ac:dyDescent="0.25">
      <c r="B26" s="72">
        <v>9</v>
      </c>
      <c r="C26" s="73">
        <v>43033</v>
      </c>
      <c r="D26" s="74">
        <v>33069.279999999999</v>
      </c>
      <c r="E26" s="74">
        <v>3771.49</v>
      </c>
      <c r="F26" s="74">
        <f t="shared" si="0"/>
        <v>37025.099999999984</v>
      </c>
      <c r="G26" s="74">
        <v>29297.79</v>
      </c>
      <c r="H26" s="74">
        <f t="shared" si="1"/>
        <v>599283.13</v>
      </c>
      <c r="I26" s="74">
        <f>H26+F26</f>
        <v>636308.23</v>
      </c>
      <c r="N26" s="258"/>
      <c r="P26" s="258"/>
    </row>
    <row r="27" spans="2:16" ht="15.75" x14ac:dyDescent="0.25">
      <c r="B27" s="72">
        <v>10</v>
      </c>
      <c r="C27" s="73">
        <v>43125</v>
      </c>
      <c r="D27" s="74">
        <v>33069.279999999999</v>
      </c>
      <c r="E27" s="75">
        <v>3595.7</v>
      </c>
      <c r="F27" s="74">
        <f t="shared" si="0"/>
        <v>33429.399999999987</v>
      </c>
      <c r="G27" s="74">
        <v>29473.58</v>
      </c>
      <c r="H27" s="74">
        <f t="shared" si="1"/>
        <v>569809.55000000005</v>
      </c>
      <c r="I27" s="74">
        <f>H27+F27</f>
        <v>603238.95000000007</v>
      </c>
      <c r="N27" s="258"/>
      <c r="P27" s="258"/>
    </row>
    <row r="28" spans="2:16" ht="15.75" x14ac:dyDescent="0.25">
      <c r="B28" s="72">
        <v>11</v>
      </c>
      <c r="C28" s="73">
        <v>43215</v>
      </c>
      <c r="D28" s="74">
        <v>33069.279999999999</v>
      </c>
      <c r="E28" s="75">
        <v>3418.86</v>
      </c>
      <c r="F28" s="74">
        <f t="shared" si="0"/>
        <v>30010.539999999986</v>
      </c>
      <c r="G28" s="74">
        <v>29650.42</v>
      </c>
      <c r="H28" s="74">
        <f t="shared" si="1"/>
        <v>540159.13</v>
      </c>
      <c r="I28" s="74">
        <f>H28+F28</f>
        <v>570169.67000000004</v>
      </c>
      <c r="N28" s="258"/>
      <c r="P28" s="258"/>
    </row>
    <row r="29" spans="2:16" ht="15.75" x14ac:dyDescent="0.25">
      <c r="B29" s="72">
        <v>12</v>
      </c>
      <c r="C29" s="73">
        <v>43306</v>
      </c>
      <c r="D29" s="74">
        <v>33069.279999999999</v>
      </c>
      <c r="E29" s="74">
        <v>3240.95</v>
      </c>
      <c r="F29" s="74">
        <f t="shared" si="0"/>
        <v>26769.589999999986</v>
      </c>
      <c r="G29" s="74">
        <v>29828.32</v>
      </c>
      <c r="H29" s="74">
        <f t="shared" si="1"/>
        <v>510330.81</v>
      </c>
      <c r="I29" s="74">
        <f>H29+F29</f>
        <v>537100.4</v>
      </c>
      <c r="K29" s="1" t="s">
        <v>58</v>
      </c>
      <c r="L29" s="32">
        <f>SUM(D28:D31)</f>
        <v>132277.12</v>
      </c>
      <c r="M29" s="32">
        <f>SUM(E28:E31)</f>
        <v>12603.73</v>
      </c>
      <c r="N29" s="264">
        <f>F29</f>
        <v>26769.589999999986</v>
      </c>
      <c r="O29" s="80">
        <f>SUM(G26:G29)</f>
        <v>118250.11000000002</v>
      </c>
      <c r="P29" s="264">
        <f>P25-O29</f>
        <v>510330.80999999994</v>
      </c>
    </row>
    <row r="30" spans="2:16" ht="15.75" x14ac:dyDescent="0.25">
      <c r="B30" s="72">
        <v>13</v>
      </c>
      <c r="C30" s="73">
        <v>43398</v>
      </c>
      <c r="D30" s="74">
        <v>33069.279999999999</v>
      </c>
      <c r="E30" s="74">
        <v>3061.98</v>
      </c>
      <c r="F30" s="74">
        <f t="shared" si="0"/>
        <v>23707.609999999986</v>
      </c>
      <c r="G30" s="74">
        <v>30007.29</v>
      </c>
      <c r="H30" s="74">
        <f t="shared" si="1"/>
        <v>480323.52</v>
      </c>
      <c r="I30" s="74">
        <f>H30+F30</f>
        <v>504031.13</v>
      </c>
      <c r="N30" s="258"/>
      <c r="P30" s="258"/>
    </row>
    <row r="31" spans="2:16" ht="15.75" x14ac:dyDescent="0.25">
      <c r="B31" s="72">
        <v>14</v>
      </c>
      <c r="C31" s="73">
        <v>43490</v>
      </c>
      <c r="D31" s="74">
        <v>33069.279999999999</v>
      </c>
      <c r="E31" s="75">
        <v>2881.94</v>
      </c>
      <c r="F31" s="74">
        <f t="shared" si="0"/>
        <v>20825.669999999987</v>
      </c>
      <c r="G31" s="74">
        <v>30187.34</v>
      </c>
      <c r="H31" s="74">
        <f t="shared" si="1"/>
        <v>450136.18</v>
      </c>
      <c r="I31" s="74">
        <f>H31+F31</f>
        <v>470961.85</v>
      </c>
      <c r="N31" s="258"/>
      <c r="P31" s="258"/>
    </row>
    <row r="32" spans="2:16" ht="15.75" x14ac:dyDescent="0.25">
      <c r="B32" s="72">
        <v>15</v>
      </c>
      <c r="C32" s="73">
        <v>43580</v>
      </c>
      <c r="D32" s="74">
        <v>33069.279999999999</v>
      </c>
      <c r="E32" s="75">
        <v>2700.82</v>
      </c>
      <c r="F32" s="74">
        <f t="shared" si="0"/>
        <v>18124.849999999988</v>
      </c>
      <c r="G32" s="74">
        <v>30368.46</v>
      </c>
      <c r="H32" s="74">
        <f t="shared" si="1"/>
        <v>419767.72</v>
      </c>
      <c r="I32" s="74">
        <f>H32+F32</f>
        <v>437892.56999999995</v>
      </c>
      <c r="N32" s="258"/>
      <c r="P32" s="258"/>
    </row>
    <row r="33" spans="2:16" ht="15.75" x14ac:dyDescent="0.25">
      <c r="B33" s="72">
        <v>16</v>
      </c>
      <c r="C33" s="73">
        <v>43671</v>
      </c>
      <c r="D33" s="74">
        <v>33069.279999999999</v>
      </c>
      <c r="E33" s="75">
        <v>2518.61</v>
      </c>
      <c r="F33" s="74">
        <f t="shared" si="0"/>
        <v>15606.239999999987</v>
      </c>
      <c r="G33" s="74">
        <v>30550.67</v>
      </c>
      <c r="H33" s="74">
        <f t="shared" si="1"/>
        <v>389217.05</v>
      </c>
      <c r="I33" s="74">
        <f>H33+F33</f>
        <v>404823.29</v>
      </c>
      <c r="K33" s="1" t="s">
        <v>59</v>
      </c>
      <c r="L33" s="32">
        <f>SUM(D32:D35)</f>
        <v>132277.12</v>
      </c>
      <c r="M33" s="32">
        <f>SUM(E32:E35)</f>
        <v>9705.630000000001</v>
      </c>
      <c r="N33" s="264">
        <f>F33</f>
        <v>15606.239999999987</v>
      </c>
      <c r="O33" s="80">
        <f>SUM(G30:G33)</f>
        <v>121113.76</v>
      </c>
      <c r="P33" s="264">
        <f>P29-O33</f>
        <v>389217.04999999993</v>
      </c>
    </row>
    <row r="34" spans="2:16" ht="15.75" x14ac:dyDescent="0.25">
      <c r="B34" s="72">
        <v>17</v>
      </c>
      <c r="C34" s="76">
        <v>43763</v>
      </c>
      <c r="D34" s="74">
        <v>33069.279999999999</v>
      </c>
      <c r="E34" s="74">
        <v>2335.3000000000002</v>
      </c>
      <c r="F34" s="74">
        <f t="shared" si="0"/>
        <v>13270.939999999988</v>
      </c>
      <c r="G34" s="74">
        <v>30733.97</v>
      </c>
      <c r="H34" s="74">
        <f t="shared" si="1"/>
        <v>358483.07999999996</v>
      </c>
      <c r="I34" s="74">
        <f>H34+F34</f>
        <v>371754.01999999996</v>
      </c>
      <c r="N34" s="258"/>
      <c r="P34" s="258"/>
    </row>
    <row r="35" spans="2:16" ht="15.75" x14ac:dyDescent="0.25">
      <c r="B35" s="72">
        <v>18</v>
      </c>
      <c r="C35" s="76">
        <v>43855</v>
      </c>
      <c r="D35" s="74">
        <v>33069.279999999999</v>
      </c>
      <c r="E35" s="75">
        <v>2150.9</v>
      </c>
      <c r="F35" s="74">
        <f t="shared" si="0"/>
        <v>11120.039999999988</v>
      </c>
      <c r="G35" s="74">
        <v>30918.38</v>
      </c>
      <c r="H35" s="74">
        <f t="shared" si="1"/>
        <v>327564.69999999995</v>
      </c>
      <c r="I35" s="74">
        <f>H35+F35</f>
        <v>338684.73999999993</v>
      </c>
      <c r="N35" s="258"/>
      <c r="P35" s="258"/>
    </row>
    <row r="36" spans="2:16" ht="15.75" x14ac:dyDescent="0.25">
      <c r="B36" s="72">
        <v>19</v>
      </c>
      <c r="C36" s="76">
        <v>43946</v>
      </c>
      <c r="D36" s="74">
        <v>33069.279999999999</v>
      </c>
      <c r="E36" s="74">
        <v>1965.39</v>
      </c>
      <c r="F36" s="74">
        <f t="shared" si="0"/>
        <v>9154.6499999999887</v>
      </c>
      <c r="G36" s="74">
        <v>31103.89</v>
      </c>
      <c r="H36" s="74">
        <f t="shared" si="1"/>
        <v>296460.80999999994</v>
      </c>
      <c r="I36" s="74">
        <f>H36+F36</f>
        <v>305615.4599999999</v>
      </c>
      <c r="N36" s="258"/>
      <c r="P36" s="258"/>
    </row>
    <row r="37" spans="2:16" ht="15.75" x14ac:dyDescent="0.25">
      <c r="B37" s="72">
        <v>20</v>
      </c>
      <c r="C37" s="76">
        <v>44037</v>
      </c>
      <c r="D37" s="74">
        <v>33069.279999999999</v>
      </c>
      <c r="E37" s="74">
        <v>1778.76</v>
      </c>
      <c r="F37" s="74">
        <f t="shared" si="0"/>
        <v>7375.8899999999885</v>
      </c>
      <c r="G37" s="74">
        <v>31290.51</v>
      </c>
      <c r="H37" s="74">
        <f t="shared" si="1"/>
        <v>265170.29999999993</v>
      </c>
      <c r="I37" s="74">
        <f>H37+F37</f>
        <v>272546.18999999994</v>
      </c>
      <c r="K37" s="1" t="s">
        <v>60</v>
      </c>
      <c r="L37" s="32">
        <f>SUM(D36:D39)</f>
        <v>132277.12</v>
      </c>
      <c r="M37" s="32">
        <f>SUM(E36:E39)</f>
        <v>6737.32</v>
      </c>
      <c r="N37" s="264">
        <f>F37</f>
        <v>7375.8899999999885</v>
      </c>
      <c r="O37" s="80">
        <f>SUM(G34:G37)</f>
        <v>124046.75</v>
      </c>
      <c r="P37" s="264">
        <f>P33-O37</f>
        <v>265170.29999999993</v>
      </c>
    </row>
    <row r="38" spans="2:16" ht="15.75" x14ac:dyDescent="0.25">
      <c r="B38" s="72">
        <v>21</v>
      </c>
      <c r="C38" s="73">
        <v>44129</v>
      </c>
      <c r="D38" s="74">
        <v>33069.279999999999</v>
      </c>
      <c r="E38" s="74">
        <v>1591.02</v>
      </c>
      <c r="F38" s="74">
        <f t="shared" si="0"/>
        <v>5784.8699999999881</v>
      </c>
      <c r="G38" s="74">
        <v>31478.26</v>
      </c>
      <c r="H38" s="74">
        <f t="shared" si="1"/>
        <v>233692.03999999992</v>
      </c>
      <c r="I38" s="74">
        <f>H38+F38</f>
        <v>239476.90999999992</v>
      </c>
      <c r="N38" s="258"/>
      <c r="P38" s="258"/>
    </row>
    <row r="39" spans="2:16" ht="15.75" x14ac:dyDescent="0.25">
      <c r="B39" s="72">
        <v>22</v>
      </c>
      <c r="C39" s="73">
        <v>44221</v>
      </c>
      <c r="D39" s="74">
        <v>33069.279999999999</v>
      </c>
      <c r="E39" s="75">
        <v>1402.15</v>
      </c>
      <c r="F39" s="74">
        <f t="shared" si="0"/>
        <v>4382.7199999999884</v>
      </c>
      <c r="G39" s="74">
        <v>31667.119999999999</v>
      </c>
      <c r="H39" s="74">
        <f t="shared" si="1"/>
        <v>202024.91999999993</v>
      </c>
      <c r="I39" s="74">
        <f>H39+F39</f>
        <v>206407.63999999993</v>
      </c>
      <c r="N39" s="258"/>
      <c r="P39" s="258"/>
    </row>
    <row r="40" spans="2:16" ht="15.75" x14ac:dyDescent="0.25">
      <c r="B40" s="72">
        <v>23</v>
      </c>
      <c r="C40" s="73">
        <v>44311</v>
      </c>
      <c r="D40" s="74">
        <v>33069.279999999999</v>
      </c>
      <c r="E40" s="77">
        <v>1212.1500000000001</v>
      </c>
      <c r="F40" s="74">
        <f t="shared" si="0"/>
        <v>3170.5699999999883</v>
      </c>
      <c r="G40" s="74">
        <v>31857.13</v>
      </c>
      <c r="H40" s="74">
        <f t="shared" si="1"/>
        <v>170167.78999999992</v>
      </c>
      <c r="I40" s="74">
        <f>H40+F40</f>
        <v>173338.3599999999</v>
      </c>
      <c r="N40" s="258"/>
      <c r="P40" s="258"/>
    </row>
    <row r="41" spans="2:16" ht="15.75" x14ac:dyDescent="0.25">
      <c r="B41" s="72">
        <v>24</v>
      </c>
      <c r="C41" s="76">
        <v>44402</v>
      </c>
      <c r="D41" s="74">
        <v>33069.279999999999</v>
      </c>
      <c r="E41" s="78">
        <v>1021.01</v>
      </c>
      <c r="F41" s="74">
        <f t="shared" si="0"/>
        <v>2149.5599999999886</v>
      </c>
      <c r="G41" s="74">
        <v>32048.27</v>
      </c>
      <c r="H41" s="74">
        <f t="shared" si="1"/>
        <v>138119.51999999993</v>
      </c>
      <c r="I41" s="74">
        <f>H41+F41</f>
        <v>140269.07999999993</v>
      </c>
      <c r="K41" s="1" t="s">
        <v>61</v>
      </c>
      <c r="L41" s="32">
        <f>SUM(D40:D43)</f>
        <v>132277.12</v>
      </c>
      <c r="M41" s="32">
        <f>SUM(E40:E43)</f>
        <v>3697.15</v>
      </c>
      <c r="N41" s="264">
        <f>F41</f>
        <v>2149.5599999999886</v>
      </c>
      <c r="O41" s="80">
        <f>SUM(G38:G41)</f>
        <v>127050.78</v>
      </c>
      <c r="P41" s="264">
        <f>P37-O41</f>
        <v>138119.51999999993</v>
      </c>
    </row>
    <row r="42" spans="2:16" ht="15.75" x14ac:dyDescent="0.25">
      <c r="B42" s="72">
        <v>25</v>
      </c>
      <c r="C42" s="73">
        <v>44494</v>
      </c>
      <c r="D42" s="74">
        <v>33069.279999999999</v>
      </c>
      <c r="E42" s="78">
        <v>828.72</v>
      </c>
      <c r="F42" s="74">
        <f t="shared" si="0"/>
        <v>1320.8399999999885</v>
      </c>
      <c r="G42" s="74">
        <v>32240.560000000001</v>
      </c>
      <c r="H42" s="74">
        <f t="shared" si="1"/>
        <v>105878.95999999993</v>
      </c>
      <c r="I42" s="74">
        <f>H42+F42</f>
        <v>107199.79999999992</v>
      </c>
      <c r="N42" s="258"/>
      <c r="P42" s="258"/>
    </row>
    <row r="43" spans="2:16" ht="15.75" x14ac:dyDescent="0.25">
      <c r="B43" s="72">
        <v>26</v>
      </c>
      <c r="C43" s="73">
        <v>44586</v>
      </c>
      <c r="D43" s="74">
        <v>33069.279999999999</v>
      </c>
      <c r="E43" s="78">
        <v>635.27</v>
      </c>
      <c r="F43" s="74">
        <f t="shared" si="0"/>
        <v>685.56999999998857</v>
      </c>
      <c r="G43" s="74">
        <v>32434</v>
      </c>
      <c r="H43" s="74">
        <f t="shared" si="1"/>
        <v>73444.959999999934</v>
      </c>
      <c r="I43" s="74">
        <f>H43+F43</f>
        <v>74130.529999999926</v>
      </c>
      <c r="N43" s="258"/>
      <c r="P43" s="258"/>
    </row>
    <row r="44" spans="2:16" ht="15.75" x14ac:dyDescent="0.25">
      <c r="B44" s="72">
        <v>27</v>
      </c>
      <c r="C44" s="73">
        <v>44676</v>
      </c>
      <c r="D44" s="74">
        <v>33069.279999999999</v>
      </c>
      <c r="E44" s="75">
        <v>440.67</v>
      </c>
      <c r="F44" s="74">
        <f t="shared" si="0"/>
        <v>244.89999999998855</v>
      </c>
      <c r="G44" s="74">
        <v>32628.61</v>
      </c>
      <c r="H44" s="74">
        <f t="shared" si="1"/>
        <v>40816.349999999933</v>
      </c>
      <c r="I44" s="74">
        <f>H44+F44</f>
        <v>41061.24999999992</v>
      </c>
      <c r="N44" s="258"/>
      <c r="P44" s="258"/>
    </row>
    <row r="45" spans="2:16" ht="15.75" x14ac:dyDescent="0.25">
      <c r="B45" s="72">
        <v>28</v>
      </c>
      <c r="C45" s="73">
        <v>44767</v>
      </c>
      <c r="D45" s="74">
        <v>41061.26</v>
      </c>
      <c r="E45" s="74">
        <v>244.9</v>
      </c>
      <c r="F45" s="74">
        <f t="shared" si="0"/>
        <v>-1.1453948900452815E-11</v>
      </c>
      <c r="G45" s="74">
        <v>40816.36</v>
      </c>
      <c r="H45" s="74">
        <f t="shared" si="1"/>
        <v>-1.0000000067520887E-2</v>
      </c>
      <c r="I45" s="74">
        <f>H45+F45</f>
        <v>-1.0000000078974836E-2</v>
      </c>
      <c r="K45" s="1" t="s">
        <v>88</v>
      </c>
      <c r="L45" s="80">
        <f>SUM(D44:D45)</f>
        <v>74130.540000000008</v>
      </c>
      <c r="M45" s="80">
        <f>SUM(E44:E45)</f>
        <v>685.57</v>
      </c>
      <c r="N45" s="264">
        <f>F45</f>
        <v>-1.1453948900452815E-11</v>
      </c>
      <c r="O45" s="80">
        <f>SUM(G42:G45)</f>
        <v>138119.53</v>
      </c>
      <c r="P45" s="264">
        <f>P41-O45</f>
        <v>-1.0000000067520887E-2</v>
      </c>
    </row>
    <row r="46" spans="2:16" ht="15.75" x14ac:dyDescent="0.25">
      <c r="B46" s="72"/>
      <c r="C46" s="72"/>
      <c r="D46" s="79">
        <f>SUM(D18:D45)</f>
        <v>933931.82000000053</v>
      </c>
      <c r="E46" s="74">
        <f>SUM(E18:E45)</f>
        <v>83931.729999999981</v>
      </c>
      <c r="F46" s="74"/>
      <c r="G46" s="74">
        <f>SUM(G18:G45)</f>
        <v>850000.01000000013</v>
      </c>
      <c r="H46" s="72"/>
      <c r="I46" s="72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C482-359F-49B8-A5D7-93A0390FEA12}">
  <dimension ref="A1:N62"/>
  <sheetViews>
    <sheetView topLeftCell="A2" workbookViewId="0">
      <selection activeCell="L36" sqref="L35:L36"/>
    </sheetView>
  </sheetViews>
  <sheetFormatPr defaultRowHeight="15.75" x14ac:dyDescent="0.25"/>
  <cols>
    <col min="1" max="1" width="14.28515625" style="86" customWidth="1"/>
    <col min="2" max="2" width="10.7109375" style="83" bestFit="1" customWidth="1"/>
    <col min="3" max="3" width="12.85546875" style="83" bestFit="1" customWidth="1"/>
    <col min="4" max="4" width="11.7109375" style="83" bestFit="1" customWidth="1"/>
    <col min="5" max="5" width="14" style="83" bestFit="1" customWidth="1"/>
    <col min="6" max="6" width="12.28515625" style="83" customWidth="1"/>
    <col min="7" max="7" width="10.7109375" style="270" bestFit="1" customWidth="1"/>
    <col min="8" max="8" width="9.140625" style="83"/>
    <col min="9" max="9" width="14" style="83" bestFit="1" customWidth="1"/>
    <col min="10" max="10" width="11.5703125" style="83" bestFit="1" customWidth="1"/>
    <col min="11" max="11" width="11.5703125" style="83" customWidth="1"/>
    <col min="12" max="12" width="12.7109375" style="83" bestFit="1" customWidth="1"/>
    <col min="13" max="13" width="12.7109375" style="83" customWidth="1"/>
    <col min="14" max="14" width="12.28515625" style="83" bestFit="1" customWidth="1"/>
    <col min="15" max="16384" width="9.140625" style="83"/>
  </cols>
  <sheetData>
    <row r="1" spans="1:14" x14ac:dyDescent="0.25">
      <c r="A1" s="82" t="s">
        <v>131</v>
      </c>
    </row>
    <row r="2" spans="1:14" x14ac:dyDescent="0.25">
      <c r="A2" s="82" t="s">
        <v>133</v>
      </c>
    </row>
    <row r="3" spans="1:14" x14ac:dyDescent="0.25">
      <c r="A3" s="82" t="s">
        <v>132</v>
      </c>
    </row>
    <row r="4" spans="1:14" x14ac:dyDescent="0.25">
      <c r="A4" s="82"/>
    </row>
    <row r="5" spans="1:14" x14ac:dyDescent="0.25">
      <c r="A5" s="82"/>
    </row>
    <row r="6" spans="1:14" x14ac:dyDescent="0.25">
      <c r="A6" s="269"/>
      <c r="B6" s="84"/>
      <c r="C6" s="84"/>
      <c r="D6" s="84"/>
      <c r="E6" s="84"/>
      <c r="F6" s="84"/>
    </row>
    <row r="7" spans="1:14" s="105" customFormat="1" x14ac:dyDescent="0.25">
      <c r="A7" s="85" t="s">
        <v>120</v>
      </c>
      <c r="B7" s="85" t="s">
        <v>31</v>
      </c>
      <c r="C7" s="85" t="s">
        <v>85</v>
      </c>
      <c r="D7" s="85" t="s">
        <v>84</v>
      </c>
      <c r="E7" s="85" t="s">
        <v>121</v>
      </c>
      <c r="F7" s="85" t="s">
        <v>122</v>
      </c>
      <c r="G7" s="271"/>
      <c r="N7" s="123"/>
    </row>
    <row r="8" spans="1:14" x14ac:dyDescent="0.25">
      <c r="A8" s="83" t="s">
        <v>123</v>
      </c>
      <c r="B8" s="87">
        <v>42892</v>
      </c>
      <c r="C8" s="88">
        <v>29199.47</v>
      </c>
      <c r="D8" s="83">
        <v>1</v>
      </c>
    </row>
    <row r="9" spans="1:14" x14ac:dyDescent="0.25">
      <c r="A9" s="83" t="s">
        <v>32</v>
      </c>
      <c r="B9" s="87">
        <v>42932</v>
      </c>
      <c r="C9" s="88">
        <v>887.08</v>
      </c>
      <c r="D9" s="83">
        <v>36</v>
      </c>
      <c r="E9" s="83" t="s">
        <v>124</v>
      </c>
      <c r="F9" s="87">
        <v>43998</v>
      </c>
    </row>
    <row r="10" spans="1:14" x14ac:dyDescent="0.25">
      <c r="A10" s="89"/>
    </row>
    <row r="11" spans="1:14" x14ac:dyDescent="0.25">
      <c r="A11" s="82" t="s">
        <v>125</v>
      </c>
      <c r="B11" s="90"/>
      <c r="C11" s="90"/>
      <c r="D11" s="90"/>
      <c r="E11" s="90"/>
      <c r="F11" s="90"/>
      <c r="G11" s="272"/>
    </row>
    <row r="12" spans="1:14" x14ac:dyDescent="0.25">
      <c r="A12" s="89"/>
      <c r="B12" s="90"/>
      <c r="C12" s="90"/>
      <c r="D12" s="90"/>
      <c r="E12" s="90"/>
      <c r="F12" s="90"/>
      <c r="G12" s="272"/>
      <c r="I12" s="106"/>
    </row>
    <row r="13" spans="1:14" ht="30" x14ac:dyDescent="0.25">
      <c r="A13" s="91"/>
      <c r="B13" s="107" t="s">
        <v>31</v>
      </c>
      <c r="C13" s="92" t="s">
        <v>32</v>
      </c>
      <c r="D13" s="92" t="s">
        <v>4</v>
      </c>
      <c r="E13" s="92" t="s">
        <v>3</v>
      </c>
      <c r="F13" s="92" t="s">
        <v>29</v>
      </c>
      <c r="G13" s="123"/>
      <c r="H13" s="262" t="s">
        <v>208</v>
      </c>
      <c r="I13" s="256" t="s">
        <v>52</v>
      </c>
      <c r="J13" s="256" t="s">
        <v>206</v>
      </c>
      <c r="K13" s="257" t="s">
        <v>205</v>
      </c>
      <c r="L13" s="256" t="s">
        <v>207</v>
      </c>
      <c r="M13" s="257" t="s">
        <v>204</v>
      </c>
    </row>
    <row r="14" spans="1:14" x14ac:dyDescent="0.25">
      <c r="A14" s="93" t="s">
        <v>123</v>
      </c>
      <c r="B14" s="94">
        <v>42902</v>
      </c>
      <c r="C14" s="95"/>
      <c r="D14" s="95"/>
      <c r="E14" s="95"/>
      <c r="F14" s="96">
        <f>C8</f>
        <v>29199.47</v>
      </c>
      <c r="G14" s="273"/>
      <c r="H14" s="83" t="s">
        <v>57</v>
      </c>
      <c r="I14" s="106">
        <f>SUM(C15:C17)</f>
        <v>2661.2400000000002</v>
      </c>
      <c r="J14" s="106">
        <f>SUM(D15:D17)</f>
        <v>420.23</v>
      </c>
      <c r="K14" s="265">
        <f>D62-J14</f>
        <v>2315.1800000000003</v>
      </c>
      <c r="L14" s="106">
        <f>SUM(E15:E17)</f>
        <v>2241.0100000000002</v>
      </c>
      <c r="M14" s="266">
        <f>C8-L14</f>
        <v>26958.46</v>
      </c>
    </row>
    <row r="15" spans="1:14" x14ac:dyDescent="0.25">
      <c r="A15" s="97">
        <v>1</v>
      </c>
      <c r="B15" s="94">
        <v>42932</v>
      </c>
      <c r="C15" s="98">
        <f>$C$9</f>
        <v>887.08</v>
      </c>
      <c r="D15" s="98">
        <v>143.74</v>
      </c>
      <c r="E15" s="98">
        <f>C15-D15</f>
        <v>743.34</v>
      </c>
      <c r="F15" s="98">
        <f>F14-E15</f>
        <v>28456.13</v>
      </c>
      <c r="G15" s="273"/>
      <c r="H15" s="83" t="s">
        <v>58</v>
      </c>
      <c r="I15" s="106">
        <f>(SUM(C18:C20))+(SUM(C24:C32))</f>
        <v>10644.960000000001</v>
      </c>
      <c r="J15" s="106">
        <f>(SUM(D18:D20))+(SUM(D24:D32))</f>
        <v>1343.38</v>
      </c>
      <c r="K15" s="265">
        <f>K14-J15</f>
        <v>971.80000000000018</v>
      </c>
      <c r="L15" s="106">
        <f>(SUM(E18:E20))+(SUM(E24:E32))</f>
        <v>9301.5800000000017</v>
      </c>
      <c r="M15" s="266">
        <f>M14-L15</f>
        <v>17656.879999999997</v>
      </c>
    </row>
    <row r="16" spans="1:14" x14ac:dyDescent="0.25">
      <c r="A16" s="97">
        <f>A15+1</f>
        <v>2</v>
      </c>
      <c r="B16" s="94">
        <v>42963</v>
      </c>
      <c r="C16" s="98">
        <f>$C$9</f>
        <v>887.08</v>
      </c>
      <c r="D16" s="98">
        <v>140.08000000000001</v>
      </c>
      <c r="E16" s="98">
        <f t="shared" ref="E16:E59" si="0">C16-D16</f>
        <v>747</v>
      </c>
      <c r="F16" s="98">
        <f t="shared" ref="F16:F59" si="1">F15-E16</f>
        <v>27709.13</v>
      </c>
      <c r="G16" s="273"/>
      <c r="H16" s="83" t="s">
        <v>59</v>
      </c>
      <c r="I16" s="106">
        <f>(SUM(C33:C35))+(SUM(C39:C47))</f>
        <v>10644.960000000001</v>
      </c>
      <c r="J16" s="106">
        <f>(SUM(D33:D35))+(SUM(D39:D47))</f>
        <v>778.76</v>
      </c>
      <c r="K16" s="265">
        <f>K15-J16</f>
        <v>193.04000000000019</v>
      </c>
      <c r="L16" s="106">
        <f>(SUM(E33:E35))+(SUM(E39:E47))</f>
        <v>9866.2000000000007</v>
      </c>
      <c r="M16" s="266">
        <f>M15-L16</f>
        <v>7790.6799999999967</v>
      </c>
    </row>
    <row r="17" spans="1:13" x14ac:dyDescent="0.25">
      <c r="A17" s="97">
        <f t="shared" ref="A17:A20" si="2">A16+1</f>
        <v>3</v>
      </c>
      <c r="B17" s="94">
        <v>42994</v>
      </c>
      <c r="C17" s="98">
        <f>$C$9</f>
        <v>887.08</v>
      </c>
      <c r="D17" s="98">
        <v>136.41</v>
      </c>
      <c r="E17" s="98">
        <f t="shared" si="0"/>
        <v>750.67000000000007</v>
      </c>
      <c r="F17" s="98">
        <f t="shared" si="1"/>
        <v>26958.46</v>
      </c>
      <c r="G17" s="273"/>
      <c r="H17" s="83" t="s">
        <v>60</v>
      </c>
      <c r="I17" s="106">
        <f>(SUM(C48:C50))+(SUM(C54:C59))</f>
        <v>7983.7200000000012</v>
      </c>
      <c r="J17" s="106">
        <f>(SUM(D48:D50))+(SUM(D54:D59))</f>
        <v>193.04000000000002</v>
      </c>
      <c r="K17" s="265">
        <f>K16-J17</f>
        <v>0</v>
      </c>
      <c r="L17" s="106">
        <f>(SUM(E48:E50))+(SUM(E54:E59))</f>
        <v>7790.68</v>
      </c>
      <c r="M17" s="266">
        <f>M16-L17</f>
        <v>0</v>
      </c>
    </row>
    <row r="18" spans="1:13" x14ac:dyDescent="0.25">
      <c r="A18" s="97">
        <f t="shared" si="2"/>
        <v>4</v>
      </c>
      <c r="B18" s="94">
        <v>43024</v>
      </c>
      <c r="C18" s="98">
        <f>$C$9</f>
        <v>887.08</v>
      </c>
      <c r="D18" s="98">
        <v>132.71</v>
      </c>
      <c r="E18" s="98">
        <f t="shared" si="0"/>
        <v>754.37</v>
      </c>
      <c r="F18" s="98">
        <f t="shared" si="1"/>
        <v>26204.09</v>
      </c>
      <c r="G18" s="273"/>
    </row>
    <row r="19" spans="1:13" x14ac:dyDescent="0.25">
      <c r="A19" s="97">
        <f t="shared" si="2"/>
        <v>5</v>
      </c>
      <c r="B19" s="94">
        <v>43055</v>
      </c>
      <c r="C19" s="98">
        <f>$C$9</f>
        <v>887.08</v>
      </c>
      <c r="D19" s="98">
        <v>129</v>
      </c>
      <c r="E19" s="98">
        <f t="shared" si="0"/>
        <v>758.08</v>
      </c>
      <c r="F19" s="98">
        <f t="shared" si="1"/>
        <v>25446.01</v>
      </c>
      <c r="G19" s="273"/>
    </row>
    <row r="20" spans="1:13" x14ac:dyDescent="0.25">
      <c r="A20" s="97">
        <f t="shared" si="2"/>
        <v>6</v>
      </c>
      <c r="B20" s="99">
        <v>43085</v>
      </c>
      <c r="C20" s="100">
        <f>$C$9</f>
        <v>887.08</v>
      </c>
      <c r="D20" s="100">
        <v>125.27</v>
      </c>
      <c r="E20" s="100">
        <f t="shared" si="0"/>
        <v>761.81000000000006</v>
      </c>
      <c r="F20" s="100">
        <f t="shared" si="1"/>
        <v>24684.199999999997</v>
      </c>
      <c r="G20" s="273"/>
    </row>
    <row r="21" spans="1:13" x14ac:dyDescent="0.25">
      <c r="A21" s="97" t="s">
        <v>126</v>
      </c>
      <c r="B21" s="94"/>
      <c r="C21" s="98">
        <f>SUM(C15:C20)</f>
        <v>5322.4800000000005</v>
      </c>
      <c r="D21" s="98">
        <f>SUM(D15:D20)</f>
        <v>807.21</v>
      </c>
      <c r="E21" s="98">
        <f>SUM(E15:E20)</f>
        <v>4515.2700000000004</v>
      </c>
      <c r="F21" s="98"/>
      <c r="G21" s="273"/>
    </row>
    <row r="22" spans="1:13" x14ac:dyDescent="0.25">
      <c r="A22" s="97"/>
      <c r="B22" s="94"/>
      <c r="C22" s="98"/>
      <c r="D22" s="98"/>
      <c r="E22" s="98"/>
      <c r="F22" s="98"/>
      <c r="G22" s="273"/>
    </row>
    <row r="23" spans="1:13" x14ac:dyDescent="0.25">
      <c r="A23" s="97"/>
      <c r="B23" s="94"/>
      <c r="C23" s="98"/>
      <c r="D23" s="98"/>
      <c r="E23" s="98"/>
      <c r="F23" s="98"/>
      <c r="G23" s="273"/>
    </row>
    <row r="24" spans="1:13" x14ac:dyDescent="0.25">
      <c r="A24" s="97">
        <f>A20+1</f>
        <v>7</v>
      </c>
      <c r="B24" s="94">
        <v>43116</v>
      </c>
      <c r="C24" s="98">
        <f>$C$9</f>
        <v>887.08</v>
      </c>
      <c r="D24" s="98">
        <v>121.52</v>
      </c>
      <c r="E24" s="98">
        <f t="shared" si="0"/>
        <v>765.56000000000006</v>
      </c>
      <c r="F24" s="98">
        <f>F20-E24</f>
        <v>23918.639999999996</v>
      </c>
    </row>
    <row r="25" spans="1:13" x14ac:dyDescent="0.25">
      <c r="A25" s="97">
        <f>A24+1</f>
        <v>8</v>
      </c>
      <c r="B25" s="94">
        <v>43147</v>
      </c>
      <c r="C25" s="98">
        <f>$C$9</f>
        <v>887.08</v>
      </c>
      <c r="D25" s="98">
        <v>117.75</v>
      </c>
      <c r="E25" s="98">
        <f t="shared" si="0"/>
        <v>769.33</v>
      </c>
      <c r="F25" s="98">
        <f t="shared" si="1"/>
        <v>23149.309999999994</v>
      </c>
    </row>
    <row r="26" spans="1:13" x14ac:dyDescent="0.25">
      <c r="A26" s="97">
        <f t="shared" ref="A26:A35" si="3">A25+1</f>
        <v>9</v>
      </c>
      <c r="B26" s="94">
        <v>43175</v>
      </c>
      <c r="C26" s="98">
        <f>$C$9</f>
        <v>887.08</v>
      </c>
      <c r="D26" s="98">
        <v>113.96</v>
      </c>
      <c r="E26" s="98">
        <f t="shared" si="0"/>
        <v>773.12</v>
      </c>
      <c r="F26" s="98">
        <f t="shared" si="1"/>
        <v>22376.189999999995</v>
      </c>
    </row>
    <row r="27" spans="1:13" x14ac:dyDescent="0.25">
      <c r="A27" s="97">
        <f t="shared" si="3"/>
        <v>10</v>
      </c>
      <c r="B27" s="94">
        <v>43206</v>
      </c>
      <c r="C27" s="98">
        <f>$C$9</f>
        <v>887.08</v>
      </c>
      <c r="D27" s="98">
        <v>110.15</v>
      </c>
      <c r="E27" s="98">
        <f t="shared" si="0"/>
        <v>776.93000000000006</v>
      </c>
      <c r="F27" s="98">
        <f t="shared" si="1"/>
        <v>21599.259999999995</v>
      </c>
    </row>
    <row r="28" spans="1:13" x14ac:dyDescent="0.25">
      <c r="A28" s="97">
        <f t="shared" si="3"/>
        <v>11</v>
      </c>
      <c r="B28" s="94">
        <v>43236</v>
      </c>
      <c r="C28" s="98">
        <f>$C$9</f>
        <v>887.08</v>
      </c>
      <c r="D28" s="98">
        <v>106.33</v>
      </c>
      <c r="E28" s="98">
        <f t="shared" si="0"/>
        <v>780.75</v>
      </c>
      <c r="F28" s="98">
        <f t="shared" si="1"/>
        <v>20818.509999999995</v>
      </c>
    </row>
    <row r="29" spans="1:13" x14ac:dyDescent="0.25">
      <c r="A29" s="97">
        <f t="shared" si="3"/>
        <v>12</v>
      </c>
      <c r="B29" s="94">
        <v>43267</v>
      </c>
      <c r="C29" s="98">
        <f>$C$9</f>
        <v>887.08</v>
      </c>
      <c r="D29" s="98">
        <v>102.49</v>
      </c>
      <c r="E29" s="98">
        <f t="shared" si="0"/>
        <v>784.59</v>
      </c>
      <c r="F29" s="98">
        <f t="shared" si="1"/>
        <v>20033.919999999995</v>
      </c>
    </row>
    <row r="30" spans="1:13" x14ac:dyDescent="0.25">
      <c r="A30" s="97">
        <f t="shared" si="3"/>
        <v>13</v>
      </c>
      <c r="B30" s="94">
        <v>43297</v>
      </c>
      <c r="C30" s="98">
        <f>$C$9</f>
        <v>887.08</v>
      </c>
      <c r="D30" s="98">
        <v>98.62</v>
      </c>
      <c r="E30" s="98">
        <f t="shared" si="0"/>
        <v>788.46</v>
      </c>
      <c r="F30" s="98">
        <f t="shared" si="1"/>
        <v>19245.459999999995</v>
      </c>
    </row>
    <row r="31" spans="1:13" x14ac:dyDescent="0.25">
      <c r="A31" s="97">
        <f t="shared" si="3"/>
        <v>14</v>
      </c>
      <c r="B31" s="94">
        <v>43328</v>
      </c>
      <c r="C31" s="98">
        <f>$C$9</f>
        <v>887.08</v>
      </c>
      <c r="D31" s="98">
        <v>94.74</v>
      </c>
      <c r="E31" s="98">
        <f t="shared" si="0"/>
        <v>792.34</v>
      </c>
      <c r="F31" s="98">
        <f t="shared" si="1"/>
        <v>18453.119999999995</v>
      </c>
    </row>
    <row r="32" spans="1:13" x14ac:dyDescent="0.25">
      <c r="A32" s="97">
        <f t="shared" si="3"/>
        <v>15</v>
      </c>
      <c r="B32" s="94">
        <v>43359</v>
      </c>
      <c r="C32" s="98">
        <f>$C$9</f>
        <v>887.08</v>
      </c>
      <c r="D32" s="98">
        <v>90.84</v>
      </c>
      <c r="E32" s="98">
        <f t="shared" si="0"/>
        <v>796.24</v>
      </c>
      <c r="F32" s="98">
        <f t="shared" si="1"/>
        <v>17656.879999999994</v>
      </c>
    </row>
    <row r="33" spans="1:6" x14ac:dyDescent="0.25">
      <c r="A33" s="97">
        <f t="shared" si="3"/>
        <v>16</v>
      </c>
      <c r="B33" s="94">
        <v>43389</v>
      </c>
      <c r="C33" s="98">
        <f>$C$9</f>
        <v>887.08</v>
      </c>
      <c r="D33" s="98">
        <v>86.92</v>
      </c>
      <c r="E33" s="98">
        <f t="shared" si="0"/>
        <v>800.16000000000008</v>
      </c>
      <c r="F33" s="98">
        <f t="shared" si="1"/>
        <v>16856.719999999994</v>
      </c>
    </row>
    <row r="34" spans="1:6" x14ac:dyDescent="0.25">
      <c r="A34" s="97">
        <f t="shared" si="3"/>
        <v>17</v>
      </c>
      <c r="B34" s="94">
        <v>43420</v>
      </c>
      <c r="C34" s="98">
        <f>$C$9</f>
        <v>887.08</v>
      </c>
      <c r="D34" s="98">
        <v>82.98</v>
      </c>
      <c r="E34" s="98">
        <f t="shared" si="0"/>
        <v>804.1</v>
      </c>
      <c r="F34" s="98">
        <f t="shared" si="1"/>
        <v>16052.619999999994</v>
      </c>
    </row>
    <row r="35" spans="1:6" x14ac:dyDescent="0.25">
      <c r="A35" s="97">
        <f t="shared" si="3"/>
        <v>18</v>
      </c>
      <c r="B35" s="99">
        <v>43450</v>
      </c>
      <c r="C35" s="100">
        <f>$C$9</f>
        <v>887.08</v>
      </c>
      <c r="D35" s="100">
        <v>79.02</v>
      </c>
      <c r="E35" s="100">
        <f t="shared" si="0"/>
        <v>808.06000000000006</v>
      </c>
      <c r="F35" s="100">
        <f t="shared" si="1"/>
        <v>15244.559999999994</v>
      </c>
    </row>
    <row r="36" spans="1:6" x14ac:dyDescent="0.25">
      <c r="A36" s="97" t="s">
        <v>127</v>
      </c>
      <c r="B36" s="94"/>
      <c r="C36" s="98">
        <f>SUM(C24:C35)</f>
        <v>10644.960000000001</v>
      </c>
      <c r="D36" s="98">
        <f>SUM(D24:D35)</f>
        <v>1205.3200000000002</v>
      </c>
      <c r="E36" s="98">
        <f>SUM(E24:E35)</f>
        <v>9439.64</v>
      </c>
      <c r="F36" s="98"/>
    </row>
    <row r="37" spans="1:6" x14ac:dyDescent="0.25">
      <c r="A37" s="97"/>
      <c r="B37" s="94"/>
      <c r="C37" s="98"/>
      <c r="D37" s="98"/>
      <c r="E37" s="98"/>
      <c r="F37" s="98"/>
    </row>
    <row r="38" spans="1:6" x14ac:dyDescent="0.25">
      <c r="A38" s="97"/>
      <c r="B38" s="94"/>
      <c r="C38" s="98"/>
      <c r="D38" s="98"/>
      <c r="E38" s="98"/>
      <c r="F38" s="98"/>
    </row>
    <row r="39" spans="1:6" x14ac:dyDescent="0.25">
      <c r="A39" s="97">
        <f>A35+1</f>
        <v>19</v>
      </c>
      <c r="B39" s="94">
        <v>43481</v>
      </c>
      <c r="C39" s="98">
        <f>$C$9</f>
        <v>887.08</v>
      </c>
      <c r="D39" s="98">
        <v>75.05</v>
      </c>
      <c r="E39" s="98">
        <f t="shared" si="0"/>
        <v>812.03000000000009</v>
      </c>
      <c r="F39" s="98">
        <f>F35-E39</f>
        <v>14432.529999999993</v>
      </c>
    </row>
    <row r="40" spans="1:6" x14ac:dyDescent="0.25">
      <c r="A40" s="97">
        <f>A39+1</f>
        <v>20</v>
      </c>
      <c r="B40" s="94">
        <v>43512</v>
      </c>
      <c r="C40" s="98">
        <f>$C$9</f>
        <v>887.08</v>
      </c>
      <c r="D40" s="98">
        <v>71.05</v>
      </c>
      <c r="E40" s="98">
        <f t="shared" si="0"/>
        <v>816.03000000000009</v>
      </c>
      <c r="F40" s="98">
        <f t="shared" si="1"/>
        <v>13616.499999999993</v>
      </c>
    </row>
    <row r="41" spans="1:6" x14ac:dyDescent="0.25">
      <c r="A41" s="97">
        <f t="shared" ref="A41:A50" si="4">A40+1</f>
        <v>21</v>
      </c>
      <c r="B41" s="94">
        <v>43540</v>
      </c>
      <c r="C41" s="98">
        <f>$C$9</f>
        <v>887.08</v>
      </c>
      <c r="D41" s="98">
        <v>67.03</v>
      </c>
      <c r="E41" s="98">
        <f t="shared" si="0"/>
        <v>820.05000000000007</v>
      </c>
      <c r="F41" s="98">
        <f t="shared" si="1"/>
        <v>12796.449999999993</v>
      </c>
    </row>
    <row r="42" spans="1:6" x14ac:dyDescent="0.25">
      <c r="A42" s="97">
        <f t="shared" si="4"/>
        <v>22</v>
      </c>
      <c r="B42" s="94">
        <v>43571</v>
      </c>
      <c r="C42" s="98">
        <f>$C$9</f>
        <v>887.08</v>
      </c>
      <c r="D42" s="101">
        <v>62.99</v>
      </c>
      <c r="E42" s="98">
        <f t="shared" si="0"/>
        <v>824.09</v>
      </c>
      <c r="F42" s="98">
        <f t="shared" si="1"/>
        <v>11972.359999999993</v>
      </c>
    </row>
    <row r="43" spans="1:6" x14ac:dyDescent="0.25">
      <c r="A43" s="97">
        <f t="shared" si="4"/>
        <v>23</v>
      </c>
      <c r="B43" s="94">
        <v>43601</v>
      </c>
      <c r="C43" s="98">
        <f>$C$9</f>
        <v>887.08</v>
      </c>
      <c r="D43" s="98">
        <v>58.94</v>
      </c>
      <c r="E43" s="98">
        <f t="shared" si="0"/>
        <v>828.1400000000001</v>
      </c>
      <c r="F43" s="98">
        <f t="shared" si="1"/>
        <v>11144.219999999994</v>
      </c>
    </row>
    <row r="44" spans="1:6" x14ac:dyDescent="0.25">
      <c r="A44" s="97">
        <f t="shared" si="4"/>
        <v>24</v>
      </c>
      <c r="B44" s="94">
        <v>43632</v>
      </c>
      <c r="C44" s="98">
        <f>$C$9</f>
        <v>887.08</v>
      </c>
      <c r="D44" s="98">
        <v>54.86</v>
      </c>
      <c r="E44" s="98">
        <f t="shared" si="0"/>
        <v>832.22</v>
      </c>
      <c r="F44" s="98">
        <f t="shared" si="1"/>
        <v>10311.999999999995</v>
      </c>
    </row>
    <row r="45" spans="1:6" x14ac:dyDescent="0.25">
      <c r="A45" s="97">
        <f t="shared" si="4"/>
        <v>25</v>
      </c>
      <c r="B45" s="94">
        <v>43662</v>
      </c>
      <c r="C45" s="98">
        <f>$C$9</f>
        <v>887.08</v>
      </c>
      <c r="D45" s="98">
        <v>50.76</v>
      </c>
      <c r="E45" s="98">
        <f t="shared" si="0"/>
        <v>836.32</v>
      </c>
      <c r="F45" s="98">
        <f t="shared" si="1"/>
        <v>9475.6799999999948</v>
      </c>
    </row>
    <row r="46" spans="1:6" x14ac:dyDescent="0.25">
      <c r="A46" s="97">
        <f t="shared" si="4"/>
        <v>26</v>
      </c>
      <c r="B46" s="94">
        <v>43693</v>
      </c>
      <c r="C46" s="98">
        <f>$C$9</f>
        <v>887.08</v>
      </c>
      <c r="D46" s="98">
        <v>46.65</v>
      </c>
      <c r="E46" s="98">
        <f t="shared" si="0"/>
        <v>840.43000000000006</v>
      </c>
      <c r="F46" s="98">
        <f t="shared" si="1"/>
        <v>8635.2499999999945</v>
      </c>
    </row>
    <row r="47" spans="1:6" x14ac:dyDescent="0.25">
      <c r="A47" s="97">
        <f t="shared" si="4"/>
        <v>27</v>
      </c>
      <c r="B47" s="94">
        <v>43724</v>
      </c>
      <c r="C47" s="98">
        <f>$C$9</f>
        <v>887.08</v>
      </c>
      <c r="D47" s="98">
        <v>42.51</v>
      </c>
      <c r="E47" s="98">
        <f t="shared" si="0"/>
        <v>844.57</v>
      </c>
      <c r="F47" s="98">
        <f t="shared" si="1"/>
        <v>7790.6799999999948</v>
      </c>
    </row>
    <row r="48" spans="1:6" x14ac:dyDescent="0.25">
      <c r="A48" s="97">
        <f t="shared" si="4"/>
        <v>28</v>
      </c>
      <c r="B48" s="94">
        <v>43754</v>
      </c>
      <c r="C48" s="98">
        <f>$C$9</f>
        <v>887.08</v>
      </c>
      <c r="D48" s="98">
        <v>38.35</v>
      </c>
      <c r="E48" s="98">
        <f t="shared" si="0"/>
        <v>848.73</v>
      </c>
      <c r="F48" s="98">
        <f t="shared" si="1"/>
        <v>6941.9499999999953</v>
      </c>
    </row>
    <row r="49" spans="1:7" x14ac:dyDescent="0.25">
      <c r="A49" s="97">
        <f t="shared" si="4"/>
        <v>29</v>
      </c>
      <c r="B49" s="94">
        <v>43785</v>
      </c>
      <c r="C49" s="98">
        <f>$C$9</f>
        <v>887.08</v>
      </c>
      <c r="D49" s="98">
        <v>34.17</v>
      </c>
      <c r="E49" s="98">
        <f t="shared" si="0"/>
        <v>852.91000000000008</v>
      </c>
      <c r="F49" s="98">
        <f t="shared" si="1"/>
        <v>6089.0399999999954</v>
      </c>
    </row>
    <row r="50" spans="1:7" x14ac:dyDescent="0.25">
      <c r="A50" s="97">
        <f t="shared" si="4"/>
        <v>30</v>
      </c>
      <c r="B50" s="99">
        <v>43815</v>
      </c>
      <c r="C50" s="100">
        <f>$C$9</f>
        <v>887.08</v>
      </c>
      <c r="D50" s="100">
        <v>29.98</v>
      </c>
      <c r="E50" s="100">
        <f t="shared" si="0"/>
        <v>857.1</v>
      </c>
      <c r="F50" s="100">
        <f t="shared" si="1"/>
        <v>5231.9399999999951</v>
      </c>
    </row>
    <row r="51" spans="1:7" x14ac:dyDescent="0.25">
      <c r="A51" s="97" t="s">
        <v>128</v>
      </c>
      <c r="B51" s="94"/>
      <c r="C51" s="98">
        <f>SUM(C39:C50)</f>
        <v>10644.960000000001</v>
      </c>
      <c r="D51" s="98">
        <f>SUM(D39:D50)</f>
        <v>632.34</v>
      </c>
      <c r="E51" s="98">
        <f>SUM(E39:E50)</f>
        <v>10012.620000000001</v>
      </c>
      <c r="F51" s="98"/>
    </row>
    <row r="52" spans="1:7" x14ac:dyDescent="0.25">
      <c r="A52" s="97"/>
      <c r="B52" s="94"/>
      <c r="C52" s="98"/>
      <c r="D52" s="98"/>
      <c r="E52" s="98"/>
      <c r="F52" s="98"/>
    </row>
    <row r="53" spans="1:7" x14ac:dyDescent="0.25">
      <c r="A53" s="97"/>
      <c r="B53" s="94"/>
      <c r="C53" s="98"/>
      <c r="D53" s="98"/>
      <c r="E53" s="98"/>
      <c r="F53" s="98"/>
    </row>
    <row r="54" spans="1:7" x14ac:dyDescent="0.25">
      <c r="A54" s="97">
        <f>A50+1</f>
        <v>31</v>
      </c>
      <c r="B54" s="94">
        <v>43846</v>
      </c>
      <c r="C54" s="98">
        <f>$C$9</f>
        <v>887.08</v>
      </c>
      <c r="D54" s="98">
        <v>25.76</v>
      </c>
      <c r="E54" s="98">
        <f t="shared" si="0"/>
        <v>861.32</v>
      </c>
      <c r="F54" s="98">
        <f>F50-E54</f>
        <v>4370.6199999999953</v>
      </c>
    </row>
    <row r="55" spans="1:7" x14ac:dyDescent="0.25">
      <c r="A55" s="97">
        <f>A54+1</f>
        <v>32</v>
      </c>
      <c r="B55" s="94">
        <v>43877</v>
      </c>
      <c r="C55" s="98">
        <f>$C$9</f>
        <v>887.08</v>
      </c>
      <c r="D55" s="98">
        <v>21.52</v>
      </c>
      <c r="E55" s="98">
        <f t="shared" si="0"/>
        <v>865.56000000000006</v>
      </c>
      <c r="F55" s="98">
        <f t="shared" si="1"/>
        <v>3505.0599999999954</v>
      </c>
    </row>
    <row r="56" spans="1:7" x14ac:dyDescent="0.25">
      <c r="A56" s="97">
        <f t="shared" ref="A56:A59" si="5">A55+1</f>
        <v>33</v>
      </c>
      <c r="B56" s="94">
        <v>43906</v>
      </c>
      <c r="C56" s="98">
        <f>$C$9</f>
        <v>887.08</v>
      </c>
      <c r="D56" s="98">
        <v>17.25</v>
      </c>
      <c r="E56" s="98">
        <f t="shared" si="0"/>
        <v>869.83</v>
      </c>
      <c r="F56" s="98">
        <f t="shared" si="1"/>
        <v>2635.2299999999955</v>
      </c>
    </row>
    <row r="57" spans="1:7" x14ac:dyDescent="0.25">
      <c r="A57" s="97">
        <f t="shared" si="5"/>
        <v>34</v>
      </c>
      <c r="B57" s="94">
        <v>43937</v>
      </c>
      <c r="C57" s="98">
        <f>$C$9</f>
        <v>887.08</v>
      </c>
      <c r="D57" s="101">
        <v>12.97</v>
      </c>
      <c r="E57" s="98">
        <f t="shared" si="0"/>
        <v>874.11</v>
      </c>
      <c r="F57" s="98">
        <f t="shared" si="1"/>
        <v>1761.1199999999953</v>
      </c>
    </row>
    <row r="58" spans="1:7" x14ac:dyDescent="0.25">
      <c r="A58" s="97">
        <f t="shared" si="5"/>
        <v>35</v>
      </c>
      <c r="B58" s="94">
        <v>43967</v>
      </c>
      <c r="C58" s="98">
        <f>$C$9</f>
        <v>887.08</v>
      </c>
      <c r="D58" s="98">
        <v>8.67</v>
      </c>
      <c r="E58" s="98">
        <f t="shared" si="0"/>
        <v>878.41000000000008</v>
      </c>
      <c r="F58" s="98">
        <f t="shared" si="1"/>
        <v>882.70999999999526</v>
      </c>
    </row>
    <row r="59" spans="1:7" x14ac:dyDescent="0.25">
      <c r="A59" s="97">
        <f t="shared" si="5"/>
        <v>36</v>
      </c>
      <c r="B59" s="99">
        <v>43998</v>
      </c>
      <c r="C59" s="100">
        <f>$C$9</f>
        <v>887.08</v>
      </c>
      <c r="D59" s="100">
        <v>4.37</v>
      </c>
      <c r="E59" s="100">
        <f t="shared" si="0"/>
        <v>882.71</v>
      </c>
      <c r="F59" s="100">
        <f t="shared" si="1"/>
        <v>-4.7748471843078732E-12</v>
      </c>
    </row>
    <row r="60" spans="1:7" x14ac:dyDescent="0.25">
      <c r="A60" s="97" t="s">
        <v>129</v>
      </c>
      <c r="B60" s="94"/>
      <c r="C60" s="98">
        <f>SUM(C54:C59)</f>
        <v>5322.4800000000005</v>
      </c>
      <c r="D60" s="98">
        <f>SUM(D54:D59)</f>
        <v>90.54</v>
      </c>
      <c r="E60" s="98">
        <f>SUM(E54:E59)</f>
        <v>5231.9400000000005</v>
      </c>
      <c r="F60" s="98"/>
    </row>
    <row r="61" spans="1:7" x14ac:dyDescent="0.25">
      <c r="C61" s="88"/>
      <c r="D61" s="88"/>
      <c r="E61" s="88"/>
      <c r="F61" s="88"/>
    </row>
    <row r="62" spans="1:7" s="90" customFormat="1" x14ac:dyDescent="0.25">
      <c r="A62" s="102" t="s">
        <v>130</v>
      </c>
      <c r="C62" s="103">
        <f>C21+C36+C51+C60</f>
        <v>31934.880000000001</v>
      </c>
      <c r="D62" s="103">
        <f t="shared" ref="D62:E62" si="6">D21+D36+D51+D60</f>
        <v>2735.4100000000003</v>
      </c>
      <c r="E62" s="103">
        <f t="shared" si="6"/>
        <v>29199.47</v>
      </c>
      <c r="F62" s="103"/>
      <c r="G62" s="272"/>
    </row>
  </sheetData>
  <phoneticPr fontId="2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5A2-4C0F-4A02-87A5-8D80638B5017}">
  <dimension ref="A1:O69"/>
  <sheetViews>
    <sheetView workbookViewId="0">
      <selection activeCell="J40" sqref="J40"/>
    </sheetView>
  </sheetViews>
  <sheetFormatPr defaultColWidth="8" defaultRowHeight="15.75" x14ac:dyDescent="0.25"/>
  <cols>
    <col min="1" max="1" width="14.28515625" style="86" customWidth="1"/>
    <col min="2" max="2" width="15.28515625" style="83" bestFit="1" customWidth="1"/>
    <col min="3" max="3" width="12.85546875" style="83" bestFit="1" customWidth="1"/>
    <col min="4" max="4" width="11.7109375" style="83" bestFit="1" customWidth="1"/>
    <col min="5" max="5" width="14" style="83" bestFit="1" customWidth="1"/>
    <col min="6" max="6" width="12.28515625" style="83" customWidth="1"/>
    <col min="7" max="7" width="12" style="270" bestFit="1" customWidth="1"/>
    <col min="8" max="9" width="8" style="83"/>
    <col min="10" max="10" width="7.5703125" style="83" customWidth="1"/>
    <col min="11" max="11" width="12.7109375" style="83" bestFit="1" customWidth="1"/>
    <col min="12" max="12" width="11.5703125" style="83" bestFit="1" customWidth="1"/>
    <col min="13" max="13" width="11.5703125" style="83" customWidth="1"/>
    <col min="14" max="14" width="11.5703125" style="83" bestFit="1" customWidth="1"/>
    <col min="15" max="15" width="12.7109375" style="83" bestFit="1" customWidth="1"/>
    <col min="16" max="16384" width="8" style="83"/>
  </cols>
  <sheetData>
    <row r="1" spans="1:15" x14ac:dyDescent="0.25">
      <c r="A1" s="82" t="s">
        <v>143</v>
      </c>
    </row>
    <row r="2" spans="1:15" x14ac:dyDescent="0.25">
      <c r="A2" s="115" t="s">
        <v>144</v>
      </c>
    </row>
    <row r="3" spans="1:15" x14ac:dyDescent="0.25">
      <c r="A3" s="82" t="s">
        <v>132</v>
      </c>
    </row>
    <row r="6" spans="1:15" x14ac:dyDescent="0.25">
      <c r="A6" s="83"/>
    </row>
    <row r="7" spans="1:15" x14ac:dyDescent="0.25">
      <c r="A7" s="269"/>
      <c r="B7" s="84"/>
      <c r="C7" s="84"/>
      <c r="D7" s="84"/>
      <c r="E7" s="84"/>
      <c r="F7" s="84"/>
    </row>
    <row r="8" spans="1:15" s="105" customFormat="1" x14ac:dyDescent="0.25">
      <c r="A8" s="85" t="s">
        <v>120</v>
      </c>
      <c r="B8" s="85" t="s">
        <v>31</v>
      </c>
      <c r="C8" s="85" t="s">
        <v>85</v>
      </c>
      <c r="D8" s="85" t="s">
        <v>84</v>
      </c>
      <c r="E8" s="85" t="s">
        <v>121</v>
      </c>
      <c r="F8" s="85" t="s">
        <v>122</v>
      </c>
      <c r="G8" s="271"/>
      <c r="H8" s="104"/>
    </row>
    <row r="9" spans="1:15" x14ac:dyDescent="0.25">
      <c r="A9" s="83" t="s">
        <v>134</v>
      </c>
      <c r="B9" s="87">
        <v>43446</v>
      </c>
      <c r="C9" s="88">
        <v>16346.61</v>
      </c>
      <c r="D9" s="83">
        <v>1</v>
      </c>
    </row>
    <row r="10" spans="1:15" x14ac:dyDescent="0.25">
      <c r="A10" s="83" t="s">
        <v>15</v>
      </c>
      <c r="B10" s="87">
        <v>43477</v>
      </c>
      <c r="C10" s="88">
        <v>496.61</v>
      </c>
      <c r="D10" s="83">
        <v>36</v>
      </c>
      <c r="E10" s="83" t="s">
        <v>124</v>
      </c>
      <c r="F10" s="87">
        <v>44542</v>
      </c>
    </row>
    <row r="11" spans="1:15" x14ac:dyDescent="0.25">
      <c r="A11" s="89"/>
    </row>
    <row r="12" spans="1:15" x14ac:dyDescent="0.25">
      <c r="A12" s="82" t="s">
        <v>125</v>
      </c>
      <c r="B12" s="90"/>
      <c r="C12" s="90"/>
      <c r="D12" s="90"/>
      <c r="E12" s="90"/>
      <c r="F12" s="90"/>
      <c r="G12" s="272"/>
      <c r="M12" s="106">
        <v>1531.3499999999997</v>
      </c>
      <c r="O12" s="106">
        <f>C9</f>
        <v>16346.61</v>
      </c>
    </row>
    <row r="13" spans="1:15" x14ac:dyDescent="0.25">
      <c r="A13" s="89"/>
      <c r="B13" s="90"/>
      <c r="C13" s="90"/>
      <c r="D13" s="90"/>
      <c r="E13" s="90"/>
      <c r="F13" s="90"/>
      <c r="G13" s="272"/>
    </row>
    <row r="14" spans="1:15" ht="30" x14ac:dyDescent="0.25">
      <c r="A14" s="91"/>
      <c r="B14" s="107" t="s">
        <v>135</v>
      </c>
      <c r="C14" s="92" t="s">
        <v>32</v>
      </c>
      <c r="D14" s="92" t="s">
        <v>4</v>
      </c>
      <c r="E14" s="92" t="s">
        <v>3</v>
      </c>
      <c r="F14" s="92" t="s">
        <v>29</v>
      </c>
      <c r="G14" s="123"/>
      <c r="J14" s="262" t="s">
        <v>208</v>
      </c>
      <c r="K14" s="256" t="s">
        <v>52</v>
      </c>
      <c r="L14" s="256" t="s">
        <v>206</v>
      </c>
      <c r="M14" s="257" t="s">
        <v>205</v>
      </c>
      <c r="N14" s="256" t="s">
        <v>207</v>
      </c>
      <c r="O14" s="257" t="s">
        <v>204</v>
      </c>
    </row>
    <row r="15" spans="1:15" x14ac:dyDescent="0.25">
      <c r="A15" s="93" t="s">
        <v>134</v>
      </c>
      <c r="B15" s="94">
        <v>43446</v>
      </c>
      <c r="C15" s="95"/>
      <c r="D15" s="95"/>
      <c r="E15" s="95"/>
      <c r="F15" s="96">
        <f>C9</f>
        <v>16346.61</v>
      </c>
      <c r="G15" s="273"/>
      <c r="J15" s="83" t="s">
        <v>59</v>
      </c>
      <c r="K15" s="106">
        <f>SUM(C18:C26)</f>
        <v>4469.4900000000007</v>
      </c>
      <c r="L15" s="106">
        <f>SUM(D18:D26)</f>
        <v>649.64999999999986</v>
      </c>
      <c r="M15" s="265">
        <f>M12-L15</f>
        <v>881.69999999999982</v>
      </c>
      <c r="N15" s="106">
        <f>SUM(E18:E26)</f>
        <v>3819.8399999999997</v>
      </c>
      <c r="O15" s="266">
        <f>O12-N15</f>
        <v>12526.77</v>
      </c>
    </row>
    <row r="16" spans="1:15" x14ac:dyDescent="0.25">
      <c r="A16" s="108" t="s">
        <v>127</v>
      </c>
      <c r="B16" s="94"/>
      <c r="C16" s="109">
        <v>0</v>
      </c>
      <c r="D16" s="109">
        <v>0</v>
      </c>
      <c r="E16" s="109">
        <v>0</v>
      </c>
      <c r="F16" s="98"/>
      <c r="G16" s="273"/>
      <c r="J16" s="83" t="s">
        <v>60</v>
      </c>
      <c r="K16" s="106">
        <f>(SUM(C27:C29))+(SUM(C33:C41))</f>
        <v>5959.3200000000006</v>
      </c>
      <c r="L16" s="106">
        <f>(SUM(D27:D29))+(SUM(D33:D41))</f>
        <v>596.3599999999999</v>
      </c>
      <c r="M16" s="265">
        <f>M15-L16</f>
        <v>285.33999999999992</v>
      </c>
      <c r="N16" s="106">
        <f>(SUM(E27:E29))+(SUM(E33:E41))</f>
        <v>5362.96</v>
      </c>
      <c r="O16" s="266">
        <f>O15-N16</f>
        <v>7163.81</v>
      </c>
    </row>
    <row r="17" spans="1:15" x14ac:dyDescent="0.25">
      <c r="A17" s="108"/>
      <c r="B17" s="94"/>
      <c r="C17" s="110"/>
      <c r="D17" s="110"/>
      <c r="E17" s="110"/>
      <c r="F17" s="98"/>
      <c r="G17" s="273"/>
      <c r="J17" s="83" t="s">
        <v>61</v>
      </c>
      <c r="K17" s="106">
        <f>(SUM(C42:C44))+(SUM(C48:C57))</f>
        <v>7860.1200000000008</v>
      </c>
      <c r="L17" s="106">
        <f>(SUM(D42:D44))+(SUM(D48:D57))</f>
        <v>286.31</v>
      </c>
      <c r="M17" s="265">
        <v>0</v>
      </c>
      <c r="N17" s="106">
        <f>(SUM(E42:E44))+(SUM(E48:E57))</f>
        <v>7163.81</v>
      </c>
      <c r="O17" s="266">
        <f t="shared" ref="O17" si="0">O16-N17</f>
        <v>0</v>
      </c>
    </row>
    <row r="18" spans="1:15" x14ac:dyDescent="0.25">
      <c r="A18" s="97">
        <v>1</v>
      </c>
      <c r="B18" s="94">
        <v>43466</v>
      </c>
      <c r="C18" s="98">
        <f>$C$10</f>
        <v>496.61</v>
      </c>
      <c r="D18" s="98">
        <v>80.47</v>
      </c>
      <c r="E18" s="98">
        <f>C18-D18</f>
        <v>416.14</v>
      </c>
      <c r="F18" s="98">
        <f>F15-E18</f>
        <v>15930.470000000001</v>
      </c>
      <c r="G18" s="273"/>
      <c r="J18" s="83" t="s">
        <v>88</v>
      </c>
      <c r="K18" s="106">
        <f>SUM(C58:C60)</f>
        <v>0</v>
      </c>
      <c r="L18" s="106">
        <f>SUM(D58:D60)</f>
        <v>0</v>
      </c>
      <c r="M18" s="265">
        <f>M17-L18</f>
        <v>0</v>
      </c>
      <c r="N18" s="106">
        <f>SUM(E58:E60)</f>
        <v>0</v>
      </c>
      <c r="O18" s="266">
        <f>O17-N18</f>
        <v>0</v>
      </c>
    </row>
    <row r="19" spans="1:15" x14ac:dyDescent="0.25">
      <c r="A19" s="97">
        <f>A18+1</f>
        <v>2</v>
      </c>
      <c r="B19" s="94">
        <v>43497</v>
      </c>
      <c r="C19" s="98">
        <f>$C$10</f>
        <v>496.61</v>
      </c>
      <c r="D19" s="98">
        <v>78.42</v>
      </c>
      <c r="E19" s="98">
        <f t="shared" ref="E19:E60" si="1">C19-D19</f>
        <v>418.19</v>
      </c>
      <c r="F19" s="98">
        <f t="shared" ref="F19:F60" si="2">F18-E19</f>
        <v>15512.28</v>
      </c>
      <c r="G19" s="273"/>
    </row>
    <row r="20" spans="1:15" x14ac:dyDescent="0.25">
      <c r="A20" s="97">
        <f t="shared" ref="A20:A23" si="3">A19+1</f>
        <v>3</v>
      </c>
      <c r="B20" s="94">
        <v>43525</v>
      </c>
      <c r="C20" s="98">
        <f>$C$10</f>
        <v>496.61</v>
      </c>
      <c r="D20" s="98">
        <v>76.36</v>
      </c>
      <c r="E20" s="98">
        <f t="shared" si="1"/>
        <v>420.25</v>
      </c>
      <c r="F20" s="98">
        <f t="shared" si="2"/>
        <v>15092.03</v>
      </c>
      <c r="G20" s="273"/>
    </row>
    <row r="21" spans="1:15" x14ac:dyDescent="0.25">
      <c r="A21" s="97">
        <f t="shared" si="3"/>
        <v>4</v>
      </c>
      <c r="B21" s="94">
        <v>43556</v>
      </c>
      <c r="C21" s="98">
        <f>$C$10</f>
        <v>496.61</v>
      </c>
      <c r="D21" s="98">
        <v>74.3</v>
      </c>
      <c r="E21" s="98">
        <f t="shared" si="1"/>
        <v>422.31</v>
      </c>
      <c r="F21" s="98">
        <f t="shared" si="2"/>
        <v>14669.720000000001</v>
      </c>
      <c r="G21" s="273"/>
    </row>
    <row r="22" spans="1:15" x14ac:dyDescent="0.25">
      <c r="A22" s="97">
        <f t="shared" si="3"/>
        <v>5</v>
      </c>
      <c r="B22" s="94">
        <v>43586</v>
      </c>
      <c r="C22" s="98">
        <f>$C$10</f>
        <v>496.61</v>
      </c>
      <c r="D22" s="98">
        <v>72.22</v>
      </c>
      <c r="E22" s="98">
        <f t="shared" si="1"/>
        <v>424.39</v>
      </c>
      <c r="F22" s="98">
        <f t="shared" si="2"/>
        <v>14245.330000000002</v>
      </c>
      <c r="G22" s="273"/>
    </row>
    <row r="23" spans="1:15" x14ac:dyDescent="0.25">
      <c r="A23" s="97">
        <f t="shared" si="3"/>
        <v>6</v>
      </c>
      <c r="B23" s="94">
        <v>43617</v>
      </c>
      <c r="C23" s="98">
        <f>$C$10</f>
        <v>496.61</v>
      </c>
      <c r="D23" s="98">
        <v>70.13</v>
      </c>
      <c r="E23" s="98">
        <f t="shared" si="1"/>
        <v>426.48</v>
      </c>
      <c r="F23" s="98">
        <f t="shared" si="2"/>
        <v>13818.850000000002</v>
      </c>
      <c r="G23" s="273"/>
    </row>
    <row r="24" spans="1:15" x14ac:dyDescent="0.25">
      <c r="A24" s="97">
        <f>A23+1</f>
        <v>7</v>
      </c>
      <c r="B24" s="94">
        <v>43647</v>
      </c>
      <c r="C24" s="98">
        <f>$C$10</f>
        <v>496.61</v>
      </c>
      <c r="D24" s="98">
        <v>68.03</v>
      </c>
      <c r="E24" s="98">
        <f t="shared" si="1"/>
        <v>428.58000000000004</v>
      </c>
      <c r="F24" s="98">
        <f>F23-E24</f>
        <v>13390.270000000002</v>
      </c>
    </row>
    <row r="25" spans="1:15" x14ac:dyDescent="0.25">
      <c r="A25" s="97">
        <f>A24+1</f>
        <v>8</v>
      </c>
      <c r="B25" s="94">
        <v>43678</v>
      </c>
      <c r="C25" s="98">
        <f>$C$10</f>
        <v>496.61</v>
      </c>
      <c r="D25" s="98">
        <v>65.92</v>
      </c>
      <c r="E25" s="98">
        <f t="shared" si="1"/>
        <v>430.69</v>
      </c>
      <c r="F25" s="98">
        <f t="shared" si="2"/>
        <v>12959.580000000002</v>
      </c>
    </row>
    <row r="26" spans="1:15" x14ac:dyDescent="0.25">
      <c r="A26" s="97">
        <f t="shared" ref="A26:A38" si="4">A25+1</f>
        <v>9</v>
      </c>
      <c r="B26" s="94">
        <v>43709</v>
      </c>
      <c r="C26" s="98">
        <f>$C$10</f>
        <v>496.61</v>
      </c>
      <c r="D26" s="98">
        <v>63.8</v>
      </c>
      <c r="E26" s="98">
        <f t="shared" si="1"/>
        <v>432.81</v>
      </c>
      <c r="F26" s="98">
        <f t="shared" si="2"/>
        <v>12526.770000000002</v>
      </c>
      <c r="G26" s="274"/>
    </row>
    <row r="27" spans="1:15" x14ac:dyDescent="0.25">
      <c r="A27" s="97">
        <f t="shared" si="4"/>
        <v>10</v>
      </c>
      <c r="B27" s="94">
        <v>43739</v>
      </c>
      <c r="C27" s="98">
        <f>$C$10</f>
        <v>496.61</v>
      </c>
      <c r="D27" s="98">
        <v>61.67</v>
      </c>
      <c r="E27" s="98">
        <f t="shared" si="1"/>
        <v>434.94</v>
      </c>
      <c r="F27" s="98">
        <f t="shared" si="2"/>
        <v>12091.830000000002</v>
      </c>
    </row>
    <row r="28" spans="1:15" x14ac:dyDescent="0.25">
      <c r="A28" s="97">
        <f t="shared" si="4"/>
        <v>11</v>
      </c>
      <c r="B28" s="94">
        <v>43770</v>
      </c>
      <c r="C28" s="98">
        <f>$C$10</f>
        <v>496.61</v>
      </c>
      <c r="D28" s="98">
        <v>59.53</v>
      </c>
      <c r="E28" s="98">
        <f t="shared" si="1"/>
        <v>437.08000000000004</v>
      </c>
      <c r="F28" s="98">
        <f t="shared" si="2"/>
        <v>11654.750000000002</v>
      </c>
    </row>
    <row r="29" spans="1:15" x14ac:dyDescent="0.25">
      <c r="A29" s="97">
        <f t="shared" si="4"/>
        <v>12</v>
      </c>
      <c r="B29" s="94">
        <v>43800</v>
      </c>
      <c r="C29" s="98">
        <f>$C$10</f>
        <v>496.61</v>
      </c>
      <c r="D29" s="98">
        <v>57.37</v>
      </c>
      <c r="E29" s="98">
        <f t="shared" si="1"/>
        <v>439.24</v>
      </c>
      <c r="F29" s="98">
        <f t="shared" si="2"/>
        <v>11215.510000000002</v>
      </c>
    </row>
    <row r="30" spans="1:15" x14ac:dyDescent="0.25">
      <c r="A30" s="97" t="s">
        <v>128</v>
      </c>
      <c r="B30" s="94"/>
      <c r="C30" s="98">
        <f>SUM(C18:C29)</f>
        <v>5959.32</v>
      </c>
      <c r="D30" s="98">
        <f>SUM(D18:D29)</f>
        <v>828.2199999999998</v>
      </c>
      <c r="E30" s="98">
        <f>SUM(E18:E29)</f>
        <v>5131.0999999999995</v>
      </c>
      <c r="F30" s="98"/>
    </row>
    <row r="31" spans="1:15" x14ac:dyDescent="0.25">
      <c r="A31" s="97"/>
      <c r="B31" s="94"/>
      <c r="C31" s="98"/>
      <c r="D31" s="98"/>
      <c r="E31" s="98"/>
      <c r="F31" s="98"/>
    </row>
    <row r="32" spans="1:15" x14ac:dyDescent="0.25">
      <c r="A32" s="97"/>
      <c r="B32" s="94"/>
      <c r="C32" s="98"/>
      <c r="D32" s="98"/>
      <c r="E32" s="98"/>
      <c r="F32" s="98"/>
    </row>
    <row r="33" spans="1:6" x14ac:dyDescent="0.25">
      <c r="A33" s="97">
        <f>A29+1</f>
        <v>13</v>
      </c>
      <c r="B33" s="94">
        <v>43831</v>
      </c>
      <c r="C33" s="98">
        <f>$C$10</f>
        <v>496.61</v>
      </c>
      <c r="D33" s="98">
        <v>55.21</v>
      </c>
      <c r="E33" s="98">
        <f t="shared" si="1"/>
        <v>441.40000000000003</v>
      </c>
      <c r="F33" s="98">
        <f>F29-E33</f>
        <v>10774.110000000002</v>
      </c>
    </row>
    <row r="34" spans="1:6" x14ac:dyDescent="0.25">
      <c r="A34" s="97">
        <f t="shared" si="4"/>
        <v>14</v>
      </c>
      <c r="B34" s="94">
        <v>43862</v>
      </c>
      <c r="C34" s="98">
        <f>$C$10</f>
        <v>496.61</v>
      </c>
      <c r="D34" s="98">
        <v>53.04</v>
      </c>
      <c r="E34" s="98">
        <f t="shared" si="1"/>
        <v>443.57</v>
      </c>
      <c r="F34" s="98">
        <f t="shared" si="2"/>
        <v>10330.540000000003</v>
      </c>
    </row>
    <row r="35" spans="1:6" x14ac:dyDescent="0.25">
      <c r="A35" s="97">
        <f t="shared" si="4"/>
        <v>15</v>
      </c>
      <c r="B35" s="94">
        <v>43891</v>
      </c>
      <c r="C35" s="98">
        <f>$C$10</f>
        <v>496.61</v>
      </c>
      <c r="D35" s="98">
        <v>50.86</v>
      </c>
      <c r="E35" s="98">
        <f t="shared" si="1"/>
        <v>445.75</v>
      </c>
      <c r="F35" s="98">
        <f t="shared" si="2"/>
        <v>9884.7900000000027</v>
      </c>
    </row>
    <row r="36" spans="1:6" x14ac:dyDescent="0.25">
      <c r="A36" s="97">
        <f t="shared" si="4"/>
        <v>16</v>
      </c>
      <c r="B36" s="94">
        <v>43922</v>
      </c>
      <c r="C36" s="98">
        <f>$C$10</f>
        <v>496.61</v>
      </c>
      <c r="D36" s="98">
        <v>48.66</v>
      </c>
      <c r="E36" s="98">
        <f t="shared" si="1"/>
        <v>447.95000000000005</v>
      </c>
      <c r="F36" s="98">
        <f t="shared" si="2"/>
        <v>9436.840000000002</v>
      </c>
    </row>
    <row r="37" spans="1:6" x14ac:dyDescent="0.25">
      <c r="A37" s="97">
        <f t="shared" si="4"/>
        <v>17</v>
      </c>
      <c r="B37" s="94">
        <v>43952</v>
      </c>
      <c r="C37" s="98">
        <f>$C$10</f>
        <v>496.61</v>
      </c>
      <c r="D37" s="98">
        <v>46.46</v>
      </c>
      <c r="E37" s="98">
        <f t="shared" si="1"/>
        <v>450.15000000000003</v>
      </c>
      <c r="F37" s="98">
        <f t="shared" si="2"/>
        <v>8986.6900000000023</v>
      </c>
    </row>
    <row r="38" spans="1:6" x14ac:dyDescent="0.25">
      <c r="A38" s="97">
        <f t="shared" si="4"/>
        <v>18</v>
      </c>
      <c r="B38" s="94">
        <v>43983</v>
      </c>
      <c r="C38" s="98">
        <f>$C$10</f>
        <v>496.61</v>
      </c>
      <c r="D38" s="98">
        <v>44.24</v>
      </c>
      <c r="E38" s="98">
        <f t="shared" si="1"/>
        <v>452.37</v>
      </c>
      <c r="F38" s="98">
        <f t="shared" si="2"/>
        <v>8534.3200000000015</v>
      </c>
    </row>
    <row r="39" spans="1:6" x14ac:dyDescent="0.25">
      <c r="A39" s="97">
        <f>A38+1</f>
        <v>19</v>
      </c>
      <c r="B39" s="94">
        <v>44013</v>
      </c>
      <c r="C39" s="98">
        <f>$C$10</f>
        <v>496.61</v>
      </c>
      <c r="D39" s="98">
        <v>42.01</v>
      </c>
      <c r="E39" s="98">
        <f t="shared" si="1"/>
        <v>454.6</v>
      </c>
      <c r="F39" s="98">
        <f>F38-E39</f>
        <v>8079.7200000000012</v>
      </c>
    </row>
    <row r="40" spans="1:6" x14ac:dyDescent="0.25">
      <c r="A40" s="97">
        <f>A39+1</f>
        <v>20</v>
      </c>
      <c r="B40" s="94">
        <v>44044</v>
      </c>
      <c r="C40" s="98">
        <f>$C$10</f>
        <v>496.61</v>
      </c>
      <c r="D40" s="98">
        <v>39.78</v>
      </c>
      <c r="E40" s="98">
        <f t="shared" si="1"/>
        <v>456.83000000000004</v>
      </c>
      <c r="F40" s="98">
        <f t="shared" si="2"/>
        <v>7622.8900000000012</v>
      </c>
    </row>
    <row r="41" spans="1:6" x14ac:dyDescent="0.25">
      <c r="A41" s="97">
        <f t="shared" ref="A41:A53" si="5">A40+1</f>
        <v>21</v>
      </c>
      <c r="B41" s="94">
        <v>44075</v>
      </c>
      <c r="C41" s="98">
        <f>$C$10</f>
        <v>496.61</v>
      </c>
      <c r="D41" s="98">
        <v>37.53</v>
      </c>
      <c r="E41" s="98">
        <f t="shared" si="1"/>
        <v>459.08000000000004</v>
      </c>
      <c r="F41" s="98">
        <f t="shared" si="2"/>
        <v>7163.8100000000013</v>
      </c>
    </row>
    <row r="42" spans="1:6" x14ac:dyDescent="0.25">
      <c r="A42" s="97">
        <f t="shared" si="5"/>
        <v>22</v>
      </c>
      <c r="B42" s="94">
        <v>44105</v>
      </c>
      <c r="C42" s="98">
        <f>$C$10</f>
        <v>496.61</v>
      </c>
      <c r="D42" s="101">
        <v>35.270000000000003</v>
      </c>
      <c r="E42" s="98">
        <f t="shared" si="1"/>
        <v>461.34000000000003</v>
      </c>
      <c r="F42" s="98">
        <f t="shared" si="2"/>
        <v>6702.4700000000012</v>
      </c>
    </row>
    <row r="43" spans="1:6" x14ac:dyDescent="0.25">
      <c r="A43" s="97">
        <f t="shared" si="5"/>
        <v>23</v>
      </c>
      <c r="B43" s="94">
        <v>44136</v>
      </c>
      <c r="C43" s="98">
        <f>$C$10</f>
        <v>496.61</v>
      </c>
      <c r="D43" s="98">
        <v>33</v>
      </c>
      <c r="E43" s="98">
        <f t="shared" si="1"/>
        <v>463.61</v>
      </c>
      <c r="F43" s="98">
        <f t="shared" si="2"/>
        <v>6238.8600000000015</v>
      </c>
    </row>
    <row r="44" spans="1:6" x14ac:dyDescent="0.25">
      <c r="A44" s="97">
        <f t="shared" si="5"/>
        <v>24</v>
      </c>
      <c r="B44" s="94">
        <v>44166</v>
      </c>
      <c r="C44" s="98">
        <f>$C$10</f>
        <v>496.61</v>
      </c>
      <c r="D44" s="98">
        <v>30.71</v>
      </c>
      <c r="E44" s="98">
        <f t="shared" si="1"/>
        <v>465.90000000000003</v>
      </c>
      <c r="F44" s="98">
        <f t="shared" si="2"/>
        <v>5772.9600000000019</v>
      </c>
    </row>
    <row r="45" spans="1:6" x14ac:dyDescent="0.25">
      <c r="A45" s="97" t="s">
        <v>129</v>
      </c>
      <c r="B45" s="94"/>
      <c r="C45" s="98">
        <f>SUM(C33:C44)</f>
        <v>5959.32</v>
      </c>
      <c r="D45" s="98">
        <f>SUM(D33:D44)</f>
        <v>516.77</v>
      </c>
      <c r="E45" s="98">
        <f>SUM(E33:E44)</f>
        <v>5442.5499999999993</v>
      </c>
      <c r="F45" s="98"/>
    </row>
    <row r="46" spans="1:6" x14ac:dyDescent="0.25">
      <c r="A46" s="97"/>
      <c r="B46" s="94"/>
      <c r="C46" s="98"/>
      <c r="D46" s="98"/>
      <c r="E46" s="98"/>
      <c r="F46" s="98"/>
    </row>
    <row r="47" spans="1:6" x14ac:dyDescent="0.25">
      <c r="A47" s="97"/>
      <c r="B47" s="94"/>
      <c r="C47" s="98"/>
      <c r="D47" s="98"/>
      <c r="E47" s="98"/>
      <c r="F47" s="98"/>
    </row>
    <row r="48" spans="1:6" x14ac:dyDescent="0.25">
      <c r="A48" s="97">
        <f>A44+1</f>
        <v>25</v>
      </c>
      <c r="B48" s="94">
        <v>44197</v>
      </c>
      <c r="C48" s="98">
        <f>$C$10</f>
        <v>496.61</v>
      </c>
      <c r="D48" s="98">
        <v>28.42</v>
      </c>
      <c r="E48" s="98">
        <f t="shared" si="1"/>
        <v>468.19</v>
      </c>
      <c r="F48" s="98">
        <f>F44-E48</f>
        <v>5304.7700000000023</v>
      </c>
    </row>
    <row r="49" spans="1:7" x14ac:dyDescent="0.25">
      <c r="A49" s="97">
        <f t="shared" si="5"/>
        <v>26</v>
      </c>
      <c r="B49" s="94">
        <v>44228</v>
      </c>
      <c r="C49" s="98">
        <f>$C$10</f>
        <v>496.61</v>
      </c>
      <c r="D49" s="98">
        <v>26.11</v>
      </c>
      <c r="E49" s="98">
        <f t="shared" si="1"/>
        <v>470.5</v>
      </c>
      <c r="F49" s="98">
        <f t="shared" si="2"/>
        <v>4834.2700000000023</v>
      </c>
    </row>
    <row r="50" spans="1:7" x14ac:dyDescent="0.25">
      <c r="A50" s="97">
        <f t="shared" si="5"/>
        <v>27</v>
      </c>
      <c r="B50" s="94">
        <v>44256</v>
      </c>
      <c r="C50" s="98">
        <f>$C$10</f>
        <v>496.61</v>
      </c>
      <c r="D50" s="98">
        <v>23.8</v>
      </c>
      <c r="E50" s="98">
        <f t="shared" si="1"/>
        <v>472.81</v>
      </c>
      <c r="F50" s="98">
        <f t="shared" si="2"/>
        <v>4361.4600000000019</v>
      </c>
    </row>
    <row r="51" spans="1:7" x14ac:dyDescent="0.25">
      <c r="A51" s="97">
        <f t="shared" si="5"/>
        <v>28</v>
      </c>
      <c r="B51" s="94">
        <v>44287</v>
      </c>
      <c r="C51" s="98">
        <f>$C$10</f>
        <v>496.61</v>
      </c>
      <c r="D51" s="98">
        <v>21.47</v>
      </c>
      <c r="E51" s="98">
        <f t="shared" si="1"/>
        <v>475.14</v>
      </c>
      <c r="F51" s="98">
        <f t="shared" si="2"/>
        <v>3886.320000000002</v>
      </c>
    </row>
    <row r="52" spans="1:7" x14ac:dyDescent="0.25">
      <c r="A52" s="97">
        <f t="shared" si="5"/>
        <v>29</v>
      </c>
      <c r="B52" s="94">
        <v>44317</v>
      </c>
      <c r="C52" s="98">
        <f>$C$10</f>
        <v>496.61</v>
      </c>
      <c r="D52" s="98">
        <v>19.13</v>
      </c>
      <c r="E52" s="98">
        <f t="shared" si="1"/>
        <v>477.48</v>
      </c>
      <c r="F52" s="98">
        <f t="shared" si="2"/>
        <v>3408.840000000002</v>
      </c>
    </row>
    <row r="53" spans="1:7" x14ac:dyDescent="0.25">
      <c r="A53" s="97">
        <f t="shared" si="5"/>
        <v>30</v>
      </c>
      <c r="B53" s="94">
        <v>44348</v>
      </c>
      <c r="C53" s="98">
        <f>$C$10</f>
        <v>496.61</v>
      </c>
      <c r="D53" s="98">
        <v>16.78</v>
      </c>
      <c r="E53" s="98">
        <f t="shared" si="1"/>
        <v>479.83000000000004</v>
      </c>
      <c r="F53" s="98">
        <f t="shared" si="2"/>
        <v>2929.010000000002</v>
      </c>
    </row>
    <row r="54" spans="1:7" x14ac:dyDescent="0.25">
      <c r="A54" s="97">
        <f>A53+1</f>
        <v>31</v>
      </c>
      <c r="B54" s="94">
        <v>44378</v>
      </c>
      <c r="C54" s="98">
        <f>$C$10</f>
        <v>496.61</v>
      </c>
      <c r="D54" s="98">
        <v>14.42</v>
      </c>
      <c r="E54" s="98">
        <f t="shared" si="1"/>
        <v>482.19</v>
      </c>
      <c r="F54" s="98">
        <f>F53-E54</f>
        <v>2446.820000000002</v>
      </c>
    </row>
    <row r="55" spans="1:7" x14ac:dyDescent="0.25">
      <c r="A55" s="97" t="s">
        <v>212</v>
      </c>
      <c r="B55" s="94">
        <v>44411</v>
      </c>
      <c r="C55" s="98">
        <v>2894.02</v>
      </c>
      <c r="D55" s="98">
        <v>37.200000000000003</v>
      </c>
      <c r="E55" s="98">
        <v>2446.8200000000002</v>
      </c>
      <c r="F55" s="98">
        <f>F54-E55</f>
        <v>0</v>
      </c>
      <c r="G55" s="309" t="s">
        <v>219</v>
      </c>
    </row>
    <row r="56" spans="1:7" x14ac:dyDescent="0.25">
      <c r="A56" s="97">
        <f>A54+1</f>
        <v>32</v>
      </c>
      <c r="B56" s="94">
        <v>44409</v>
      </c>
      <c r="C56" s="98"/>
      <c r="D56" s="98"/>
      <c r="E56" s="98"/>
      <c r="F56" s="98"/>
    </row>
    <row r="57" spans="1:7" x14ac:dyDescent="0.25">
      <c r="A57" s="97">
        <f t="shared" ref="A57:A60" si="6">A56+1</f>
        <v>33</v>
      </c>
      <c r="B57" s="94">
        <v>44440</v>
      </c>
      <c r="C57" s="98"/>
      <c r="D57" s="98"/>
      <c r="E57" s="98"/>
      <c r="F57" s="98"/>
    </row>
    <row r="58" spans="1:7" x14ac:dyDescent="0.25">
      <c r="A58" s="97">
        <f t="shared" si="6"/>
        <v>34</v>
      </c>
      <c r="B58" s="94">
        <v>44470</v>
      </c>
      <c r="C58" s="98"/>
      <c r="D58" s="101"/>
      <c r="E58" s="98"/>
      <c r="F58" s="98"/>
    </row>
    <row r="59" spans="1:7" x14ac:dyDescent="0.25">
      <c r="A59" s="97">
        <f t="shared" si="6"/>
        <v>35</v>
      </c>
      <c r="B59" s="94">
        <v>44501</v>
      </c>
      <c r="C59" s="98"/>
      <c r="D59" s="98"/>
      <c r="E59" s="98"/>
      <c r="F59" s="98"/>
    </row>
    <row r="60" spans="1:7" x14ac:dyDescent="0.25">
      <c r="A60" s="97">
        <f t="shared" si="6"/>
        <v>36</v>
      </c>
      <c r="B60" s="94">
        <v>44531</v>
      </c>
      <c r="C60" s="98"/>
      <c r="D60" s="98"/>
      <c r="E60" s="98"/>
      <c r="F60" s="98"/>
    </row>
    <row r="61" spans="1:7" x14ac:dyDescent="0.25">
      <c r="A61" s="97" t="s">
        <v>136</v>
      </c>
      <c r="B61" s="94"/>
      <c r="C61" s="98">
        <f>SUM(C48:C60)</f>
        <v>6370.2900000000009</v>
      </c>
      <c r="D61" s="98">
        <f>SUM(D48:D60)</f>
        <v>187.32999999999998</v>
      </c>
      <c r="E61" s="98">
        <f>SUM(E48:E60)</f>
        <v>5772.96</v>
      </c>
      <c r="F61" s="98"/>
    </row>
    <row r="62" spans="1:7" x14ac:dyDescent="0.25">
      <c r="C62" s="88"/>
      <c r="D62" s="88"/>
      <c r="E62" s="88"/>
      <c r="F62" s="88"/>
    </row>
    <row r="63" spans="1:7" s="90" customFormat="1" x14ac:dyDescent="0.25">
      <c r="A63" s="102" t="s">
        <v>130</v>
      </c>
      <c r="C63" s="103">
        <f>C16+C30+C45+C61</f>
        <v>18288.93</v>
      </c>
      <c r="D63" s="103">
        <f t="shared" ref="D63:E63" si="7">D16+D30+D45+D61</f>
        <v>1532.3199999999997</v>
      </c>
      <c r="E63" s="103">
        <f t="shared" si="7"/>
        <v>16346.609999999997</v>
      </c>
      <c r="F63" s="103"/>
      <c r="G63" s="272"/>
    </row>
    <row r="66" spans="3:6" x14ac:dyDescent="0.25">
      <c r="D66" s="86" t="s">
        <v>137</v>
      </c>
      <c r="E66" s="111">
        <f>SUM(E56:E60)</f>
        <v>0</v>
      </c>
      <c r="F66" s="112" t="s">
        <v>138</v>
      </c>
    </row>
    <row r="67" spans="3:6" x14ac:dyDescent="0.25">
      <c r="D67" s="86" t="s">
        <v>139</v>
      </c>
      <c r="E67" s="111">
        <f>82*5</f>
        <v>410</v>
      </c>
      <c r="F67" s="112" t="s">
        <v>140</v>
      </c>
    </row>
    <row r="68" spans="3:6" x14ac:dyDescent="0.25">
      <c r="C68" s="84"/>
      <c r="D68" s="113" t="s">
        <v>141</v>
      </c>
      <c r="E68" s="114">
        <v>2894.02</v>
      </c>
      <c r="F68" s="112"/>
    </row>
    <row r="69" spans="3:6" x14ac:dyDescent="0.25">
      <c r="D69" s="83" t="s">
        <v>4</v>
      </c>
      <c r="E69" s="111">
        <f>E68-E66-E67</f>
        <v>2484.02</v>
      </c>
      <c r="F69" s="112" t="s">
        <v>142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6BED-AB88-4338-92A7-2106095080AB}">
  <dimension ref="A1:N74"/>
  <sheetViews>
    <sheetView workbookViewId="0">
      <selection activeCell="N20" sqref="N20"/>
    </sheetView>
  </sheetViews>
  <sheetFormatPr defaultRowHeight="15.75" x14ac:dyDescent="0.25"/>
  <cols>
    <col min="1" max="1" width="14.28515625" style="115" customWidth="1"/>
    <col min="2" max="2" width="10.7109375" style="115" bestFit="1" customWidth="1"/>
    <col min="3" max="3" width="12.85546875" style="115" bestFit="1" customWidth="1"/>
    <col min="4" max="4" width="11.7109375" style="115" bestFit="1" customWidth="1"/>
    <col min="5" max="5" width="14" style="115" bestFit="1" customWidth="1"/>
    <col min="6" max="6" width="12.28515625" style="115" customWidth="1"/>
    <col min="7" max="8" width="9.140625" style="115"/>
    <col min="9" max="9" width="6.85546875" style="115" bestFit="1" customWidth="1"/>
    <col min="10" max="10" width="14" style="115" bestFit="1" customWidth="1"/>
    <col min="11" max="11" width="12.7109375" style="115" bestFit="1" customWidth="1"/>
    <col min="12" max="12" width="12.7109375" style="115" customWidth="1"/>
    <col min="13" max="13" width="12.7109375" style="115" bestFit="1" customWidth="1"/>
    <col min="14" max="14" width="11.5703125" style="115" bestFit="1" customWidth="1"/>
    <col min="15" max="16384" width="9.140625" style="115"/>
  </cols>
  <sheetData>
    <row r="1" spans="1:14" x14ac:dyDescent="0.25">
      <c r="A1" s="82" t="s">
        <v>145</v>
      </c>
    </row>
    <row r="2" spans="1:14" x14ac:dyDescent="0.25">
      <c r="A2" s="115" t="s">
        <v>146</v>
      </c>
    </row>
    <row r="3" spans="1:14" ht="16.7" customHeight="1" x14ac:dyDescent="0.25"/>
    <row r="4" spans="1:14" ht="16.7" customHeight="1" x14ac:dyDescent="0.25">
      <c r="A4" s="82"/>
    </row>
    <row r="5" spans="1:14" x14ac:dyDescent="0.25">
      <c r="A5" s="268" t="s">
        <v>120</v>
      </c>
      <c r="B5" s="268" t="s">
        <v>31</v>
      </c>
      <c r="C5" s="268" t="s">
        <v>85</v>
      </c>
      <c r="D5" s="268" t="s">
        <v>84</v>
      </c>
      <c r="E5" s="268" t="s">
        <v>121</v>
      </c>
      <c r="F5" s="268" t="s">
        <v>209</v>
      </c>
    </row>
    <row r="6" spans="1:14" ht="16.7" customHeight="1" x14ac:dyDescent="0.25">
      <c r="A6" s="115" t="s">
        <v>123</v>
      </c>
      <c r="B6" s="267">
        <v>42030</v>
      </c>
      <c r="C6" s="115">
        <v>47495.34</v>
      </c>
      <c r="D6" s="115">
        <v>1</v>
      </c>
    </row>
    <row r="7" spans="1:14" ht="16.7" customHeight="1" x14ac:dyDescent="0.25">
      <c r="A7" s="115" t="s">
        <v>32</v>
      </c>
      <c r="B7" s="267">
        <v>42061</v>
      </c>
      <c r="C7" s="115">
        <v>916.66</v>
      </c>
      <c r="D7" s="115">
        <v>60</v>
      </c>
      <c r="E7" s="115" t="s">
        <v>124</v>
      </c>
      <c r="F7" s="267">
        <v>43856</v>
      </c>
    </row>
    <row r="8" spans="1:14" ht="16.7" customHeight="1" x14ac:dyDescent="0.25">
      <c r="A8" s="82" t="s">
        <v>125</v>
      </c>
    </row>
    <row r="9" spans="1:14" ht="16.7" customHeight="1" x14ac:dyDescent="0.25">
      <c r="A9" s="82"/>
    </row>
    <row r="10" spans="1:14" ht="30.75" customHeight="1" x14ac:dyDescent="0.25">
      <c r="A10" s="122"/>
      <c r="B10" s="123" t="s">
        <v>31</v>
      </c>
      <c r="C10" s="123" t="s">
        <v>32</v>
      </c>
      <c r="D10" s="123" t="s">
        <v>4</v>
      </c>
      <c r="E10" s="123" t="s">
        <v>3</v>
      </c>
      <c r="F10" s="123" t="s">
        <v>29</v>
      </c>
      <c r="I10" s="262" t="s">
        <v>208</v>
      </c>
      <c r="J10" s="256" t="s">
        <v>52</v>
      </c>
      <c r="K10" s="256" t="s">
        <v>206</v>
      </c>
      <c r="L10" s="257" t="s">
        <v>205</v>
      </c>
      <c r="M10" s="256" t="s">
        <v>207</v>
      </c>
      <c r="N10" s="257" t="s">
        <v>204</v>
      </c>
    </row>
    <row r="11" spans="1:14" ht="19.350000000000001" customHeight="1" x14ac:dyDescent="0.25">
      <c r="A11" s="124" t="s">
        <v>123</v>
      </c>
      <c r="B11" s="125">
        <v>42030</v>
      </c>
      <c r="C11" s="126"/>
      <c r="D11" s="126"/>
      <c r="E11" s="126"/>
      <c r="F11" s="116">
        <v>47495.34</v>
      </c>
      <c r="I11" s="83" t="s">
        <v>55</v>
      </c>
      <c r="J11" s="106">
        <f>SUM(C12:C19)</f>
        <v>7333.28</v>
      </c>
      <c r="K11" s="106">
        <f>SUM(D12:D19)</f>
        <v>1782.16</v>
      </c>
      <c r="L11" s="265">
        <f>D72-K11</f>
        <v>5722.1</v>
      </c>
      <c r="M11" s="106">
        <f>SUM(E12:E19)</f>
        <v>5551.12</v>
      </c>
      <c r="N11" s="266">
        <f>F11-M11</f>
        <v>41944.219999999994</v>
      </c>
    </row>
    <row r="12" spans="1:14" ht="22.5" customHeight="1" x14ac:dyDescent="0.25">
      <c r="A12" s="127">
        <v>1</v>
      </c>
      <c r="B12" s="125">
        <v>42061</v>
      </c>
      <c r="C12" s="116">
        <v>916.66</v>
      </c>
      <c r="D12" s="116">
        <v>234.68</v>
      </c>
      <c r="E12" s="116">
        <v>681.98</v>
      </c>
      <c r="F12" s="116">
        <v>46813.36</v>
      </c>
      <c r="I12" s="83" t="s">
        <v>56</v>
      </c>
      <c r="J12" s="106">
        <f>SUM(C20:C31)</f>
        <v>10999.92</v>
      </c>
      <c r="K12" s="106">
        <f>SUM(D20:D31)</f>
        <v>2251.85</v>
      </c>
      <c r="L12" s="265">
        <f>L11-K12</f>
        <v>3470.2500000000005</v>
      </c>
      <c r="M12" s="106">
        <f>SUM(E20:E31)</f>
        <v>8748.07</v>
      </c>
      <c r="N12" s="266">
        <f>N11-M12</f>
        <v>33196.149999999994</v>
      </c>
    </row>
    <row r="13" spans="1:14" ht="22.5" customHeight="1" x14ac:dyDescent="0.25">
      <c r="A13" s="127">
        <v>2</v>
      </c>
      <c r="B13" s="125">
        <v>42089</v>
      </c>
      <c r="C13" s="116">
        <v>916.66</v>
      </c>
      <c r="D13" s="116">
        <v>231.31</v>
      </c>
      <c r="E13" s="116">
        <v>685.35</v>
      </c>
      <c r="F13" s="116">
        <v>46128.01</v>
      </c>
      <c r="I13" s="83" t="s">
        <v>57</v>
      </c>
      <c r="J13" s="106">
        <f>SUM(C32:C43)</f>
        <v>10999.92</v>
      </c>
      <c r="K13" s="106">
        <f>SUM(D32:D43)</f>
        <v>1718.8100000000002</v>
      </c>
      <c r="L13" s="265">
        <f>L12-K13</f>
        <v>1751.4400000000003</v>
      </c>
      <c r="M13" s="106">
        <f>SUM(E32:E43)</f>
        <v>9281.11</v>
      </c>
      <c r="N13" s="266">
        <f t="shared" ref="N13" si="0">N12-M13</f>
        <v>23915.039999999994</v>
      </c>
    </row>
    <row r="14" spans="1:14" ht="22.5" customHeight="1" x14ac:dyDescent="0.25">
      <c r="A14" s="127">
        <v>3</v>
      </c>
      <c r="B14" s="125">
        <v>42120</v>
      </c>
      <c r="C14" s="116">
        <v>916.66</v>
      </c>
      <c r="D14" s="116">
        <v>227.93</v>
      </c>
      <c r="E14" s="116">
        <v>688.73</v>
      </c>
      <c r="F14" s="116">
        <v>45439.28</v>
      </c>
      <c r="I14" s="83" t="s">
        <v>58</v>
      </c>
      <c r="J14" s="106">
        <f>SUM(C44:C55)</f>
        <v>10999.92</v>
      </c>
      <c r="K14" s="106">
        <f>SUM(D44:D55)</f>
        <v>1153.28</v>
      </c>
      <c r="L14" s="265">
        <f>L13-K14</f>
        <v>598.16000000000031</v>
      </c>
      <c r="M14" s="106">
        <f>SUM(E44:E55)</f>
        <v>9846.64</v>
      </c>
      <c r="N14" s="266">
        <f>N13-M14</f>
        <v>14068.399999999994</v>
      </c>
    </row>
    <row r="15" spans="1:14" ht="22.5" customHeight="1" x14ac:dyDescent="0.25">
      <c r="A15" s="127">
        <v>4</v>
      </c>
      <c r="B15" s="125">
        <v>42150</v>
      </c>
      <c r="C15" s="116">
        <v>916.66</v>
      </c>
      <c r="D15" s="116">
        <v>224.52</v>
      </c>
      <c r="E15" s="116">
        <v>692.14</v>
      </c>
      <c r="F15" s="116">
        <v>44747.14</v>
      </c>
      <c r="I15" s="115" t="s">
        <v>59</v>
      </c>
      <c r="J15" s="121">
        <f>SUM(C56:C67)</f>
        <v>10999.92</v>
      </c>
      <c r="K15" s="121">
        <f>SUM(D56:D67)</f>
        <v>553.31000000000006</v>
      </c>
      <c r="L15" s="265">
        <f>L14-K15</f>
        <v>44.85000000000025</v>
      </c>
      <c r="M15" s="121">
        <f>SUM(E56:E67)</f>
        <v>10446.61</v>
      </c>
      <c r="N15" s="266">
        <f>N14-M15</f>
        <v>3621.7899999999936</v>
      </c>
    </row>
    <row r="16" spans="1:14" ht="22.5" customHeight="1" x14ac:dyDescent="0.25">
      <c r="A16" s="127">
        <v>5</v>
      </c>
      <c r="B16" s="125">
        <v>42181</v>
      </c>
      <c r="C16" s="116">
        <v>916.66</v>
      </c>
      <c r="D16" s="116">
        <v>221.1</v>
      </c>
      <c r="E16" s="116">
        <v>695.56</v>
      </c>
      <c r="F16" s="116">
        <v>44051.58</v>
      </c>
      <c r="I16" s="115" t="s">
        <v>60</v>
      </c>
      <c r="J16" s="121">
        <f>SUM(C68:C71)</f>
        <v>3666.64</v>
      </c>
      <c r="K16" s="121">
        <f>SUM(D68:D71)</f>
        <v>44.849999999999994</v>
      </c>
      <c r="L16" s="265">
        <f>L15-K16</f>
        <v>2.5579538487363607E-13</v>
      </c>
      <c r="M16" s="121">
        <f>SUM(E68:E71)</f>
        <v>3621.79</v>
      </c>
      <c r="N16" s="266">
        <f>N15-M16</f>
        <v>-6.3664629124104977E-12</v>
      </c>
    </row>
    <row r="17" spans="1:6" ht="22.5" customHeight="1" x14ac:dyDescent="0.25">
      <c r="A17" s="127">
        <v>6</v>
      </c>
      <c r="B17" s="125">
        <v>42211</v>
      </c>
      <c r="C17" s="116">
        <v>916.66</v>
      </c>
      <c r="D17" s="116">
        <v>217.67</v>
      </c>
      <c r="E17" s="116">
        <v>698.99</v>
      </c>
      <c r="F17" s="116">
        <v>43352.59</v>
      </c>
    </row>
    <row r="18" spans="1:6" ht="22.5" customHeight="1" x14ac:dyDescent="0.25">
      <c r="A18" s="127">
        <v>7</v>
      </c>
      <c r="B18" s="125">
        <v>42242</v>
      </c>
      <c r="C18" s="116">
        <v>916.66</v>
      </c>
      <c r="D18" s="116">
        <v>214.21</v>
      </c>
      <c r="E18" s="116">
        <v>702.45</v>
      </c>
      <c r="F18" s="116">
        <v>42650.14</v>
      </c>
    </row>
    <row r="19" spans="1:6" ht="22.5" customHeight="1" x14ac:dyDescent="0.25">
      <c r="A19" s="127">
        <v>8</v>
      </c>
      <c r="B19" s="125">
        <v>42273</v>
      </c>
      <c r="C19" s="116">
        <v>916.66</v>
      </c>
      <c r="D19" s="116">
        <v>210.74</v>
      </c>
      <c r="E19" s="116">
        <v>705.92</v>
      </c>
      <c r="F19" s="116">
        <v>41944.22</v>
      </c>
    </row>
    <row r="20" spans="1:6" ht="22.5" customHeight="1" x14ac:dyDescent="0.25">
      <c r="A20" s="127">
        <v>9</v>
      </c>
      <c r="B20" s="125">
        <v>42303</v>
      </c>
      <c r="C20" s="116">
        <v>916.66</v>
      </c>
      <c r="D20" s="116">
        <v>207.25</v>
      </c>
      <c r="E20" s="116">
        <v>709.41</v>
      </c>
      <c r="F20" s="116">
        <v>41234.81</v>
      </c>
    </row>
    <row r="21" spans="1:6" ht="22.5" customHeight="1" x14ac:dyDescent="0.25">
      <c r="A21" s="127">
        <v>10</v>
      </c>
      <c r="B21" s="125">
        <v>42334</v>
      </c>
      <c r="C21" s="116">
        <v>916.66</v>
      </c>
      <c r="D21" s="116">
        <v>203.75</v>
      </c>
      <c r="E21" s="116">
        <v>712.91</v>
      </c>
      <c r="F21" s="116">
        <v>40521.9</v>
      </c>
    </row>
    <row r="22" spans="1:6" ht="22.5" customHeight="1" x14ac:dyDescent="0.25">
      <c r="A22" s="127">
        <v>11</v>
      </c>
      <c r="B22" s="125">
        <v>42364</v>
      </c>
      <c r="C22" s="116">
        <v>916.66</v>
      </c>
      <c r="D22" s="116">
        <v>200.23</v>
      </c>
      <c r="E22" s="116">
        <v>716.43</v>
      </c>
      <c r="F22" s="116">
        <v>39805.47</v>
      </c>
    </row>
    <row r="23" spans="1:6" ht="16.7" customHeight="1" x14ac:dyDescent="0.25">
      <c r="A23" s="127">
        <v>12</v>
      </c>
      <c r="B23" s="125">
        <v>42395</v>
      </c>
      <c r="C23" s="116">
        <v>916.66</v>
      </c>
      <c r="D23" s="116">
        <v>196.69</v>
      </c>
      <c r="E23" s="116">
        <v>719.97</v>
      </c>
      <c r="F23" s="116">
        <v>39085.5</v>
      </c>
    </row>
    <row r="24" spans="1:6" ht="22.5" customHeight="1" x14ac:dyDescent="0.25">
      <c r="A24" s="127">
        <v>13</v>
      </c>
      <c r="B24" s="125">
        <v>42426</v>
      </c>
      <c r="C24" s="116">
        <v>916.66</v>
      </c>
      <c r="D24" s="116">
        <v>193.13</v>
      </c>
      <c r="E24" s="116">
        <v>723.53</v>
      </c>
      <c r="F24" s="116">
        <v>38361.97</v>
      </c>
    </row>
    <row r="25" spans="1:6" ht="22.5" customHeight="1" x14ac:dyDescent="0.25">
      <c r="A25" s="127">
        <v>14</v>
      </c>
      <c r="B25" s="125">
        <v>42455</v>
      </c>
      <c r="C25" s="116">
        <v>916.66</v>
      </c>
      <c r="D25" s="116">
        <v>189.55</v>
      </c>
      <c r="E25" s="116">
        <v>727.11</v>
      </c>
      <c r="F25" s="116">
        <v>37634.86</v>
      </c>
    </row>
    <row r="26" spans="1:6" ht="16.7" customHeight="1" x14ac:dyDescent="0.25">
      <c r="A26" s="127">
        <v>15</v>
      </c>
      <c r="B26" s="125">
        <v>42486</v>
      </c>
      <c r="C26" s="116">
        <v>916.66</v>
      </c>
      <c r="D26" s="116">
        <v>185.96</v>
      </c>
      <c r="E26" s="116">
        <v>730.7</v>
      </c>
      <c r="F26" s="116">
        <v>36904.160000000003</v>
      </c>
    </row>
    <row r="27" spans="1:6" ht="16.7" customHeight="1" x14ac:dyDescent="0.25">
      <c r="A27" s="127">
        <v>16</v>
      </c>
      <c r="B27" s="125">
        <v>42516</v>
      </c>
      <c r="C27" s="116">
        <v>916.66</v>
      </c>
      <c r="D27" s="116">
        <v>182.35</v>
      </c>
      <c r="E27" s="116">
        <v>734.31</v>
      </c>
      <c r="F27" s="116">
        <v>36169.85</v>
      </c>
    </row>
    <row r="28" spans="1:6" ht="22.5" customHeight="1" x14ac:dyDescent="0.25">
      <c r="A28" s="127">
        <v>17</v>
      </c>
      <c r="B28" s="125">
        <v>42547</v>
      </c>
      <c r="C28" s="116">
        <v>916.66</v>
      </c>
      <c r="D28" s="116">
        <v>178.72</v>
      </c>
      <c r="E28" s="116">
        <v>737.94</v>
      </c>
      <c r="F28" s="116">
        <v>35431.910000000003</v>
      </c>
    </row>
    <row r="29" spans="1:6" ht="22.5" customHeight="1" x14ac:dyDescent="0.25">
      <c r="A29" s="127">
        <v>18</v>
      </c>
      <c r="B29" s="125">
        <v>42577</v>
      </c>
      <c r="C29" s="116">
        <v>916.66</v>
      </c>
      <c r="D29" s="116">
        <v>175.08</v>
      </c>
      <c r="E29" s="116">
        <v>741.58</v>
      </c>
      <c r="F29" s="116">
        <v>34690.33</v>
      </c>
    </row>
    <row r="30" spans="1:6" ht="22.5" customHeight="1" x14ac:dyDescent="0.25">
      <c r="A30" s="127">
        <v>19</v>
      </c>
      <c r="B30" s="125">
        <v>42608</v>
      </c>
      <c r="C30" s="116">
        <v>916.66</v>
      </c>
      <c r="D30" s="116">
        <v>171.41</v>
      </c>
      <c r="E30" s="116">
        <v>745.25</v>
      </c>
      <c r="F30" s="116">
        <v>33945.08</v>
      </c>
    </row>
    <row r="31" spans="1:6" ht="22.5" customHeight="1" x14ac:dyDescent="0.25">
      <c r="A31" s="127">
        <v>20</v>
      </c>
      <c r="B31" s="125">
        <v>42639</v>
      </c>
      <c r="C31" s="116">
        <v>916.66</v>
      </c>
      <c r="D31" s="116">
        <v>167.73</v>
      </c>
      <c r="E31" s="116">
        <v>748.93</v>
      </c>
      <c r="F31" s="116">
        <v>33196.15</v>
      </c>
    </row>
    <row r="32" spans="1:6" ht="22.5" customHeight="1" x14ac:dyDescent="0.25">
      <c r="A32" s="127">
        <v>21</v>
      </c>
      <c r="B32" s="125">
        <v>42669</v>
      </c>
      <c r="C32" s="116">
        <v>916.66</v>
      </c>
      <c r="D32" s="116">
        <v>164.03</v>
      </c>
      <c r="E32" s="116">
        <v>752.63</v>
      </c>
      <c r="F32" s="116">
        <v>32443.52</v>
      </c>
    </row>
    <row r="33" spans="1:6" ht="22.5" customHeight="1" x14ac:dyDescent="0.25">
      <c r="A33" s="127">
        <v>22</v>
      </c>
      <c r="B33" s="125">
        <v>42700</v>
      </c>
      <c r="C33" s="116">
        <v>916.66</v>
      </c>
      <c r="D33" s="116">
        <v>160.31</v>
      </c>
      <c r="E33" s="116">
        <v>756.35</v>
      </c>
      <c r="F33" s="116">
        <v>31687.17</v>
      </c>
    </row>
    <row r="34" spans="1:6" ht="22.5" customHeight="1" x14ac:dyDescent="0.25">
      <c r="A34" s="127">
        <v>23</v>
      </c>
      <c r="B34" s="125">
        <v>42730</v>
      </c>
      <c r="C34" s="116">
        <v>916.66</v>
      </c>
      <c r="D34" s="116">
        <v>156.57</v>
      </c>
      <c r="E34" s="116">
        <v>760.09</v>
      </c>
      <c r="F34" s="116">
        <v>30927.08</v>
      </c>
    </row>
    <row r="35" spans="1:6" ht="33.75" customHeight="1" x14ac:dyDescent="0.25">
      <c r="A35" s="128">
        <v>24</v>
      </c>
      <c r="B35" s="129">
        <v>42761</v>
      </c>
      <c r="C35" s="117">
        <v>916.66</v>
      </c>
      <c r="D35" s="117">
        <v>152.82</v>
      </c>
      <c r="E35" s="117">
        <v>763.84</v>
      </c>
      <c r="F35" s="117">
        <v>30163.24</v>
      </c>
    </row>
    <row r="36" spans="1:6" ht="22.5" customHeight="1" x14ac:dyDescent="0.25">
      <c r="A36" s="127">
        <v>25</v>
      </c>
      <c r="B36" s="125">
        <v>42792</v>
      </c>
      <c r="C36" s="116">
        <v>916.66</v>
      </c>
      <c r="D36" s="116">
        <v>149.04</v>
      </c>
      <c r="E36" s="116">
        <v>767.62</v>
      </c>
      <c r="F36" s="116">
        <v>29395.62</v>
      </c>
    </row>
    <row r="37" spans="1:6" ht="22.5" customHeight="1" x14ac:dyDescent="0.25">
      <c r="A37" s="127">
        <v>26</v>
      </c>
      <c r="B37" s="125">
        <v>42820</v>
      </c>
      <c r="C37" s="116">
        <v>916.66</v>
      </c>
      <c r="D37" s="116">
        <v>145.25</v>
      </c>
      <c r="E37" s="116">
        <v>771.41</v>
      </c>
      <c r="F37" s="116">
        <v>28624.21</v>
      </c>
    </row>
    <row r="38" spans="1:6" ht="22.5" customHeight="1" x14ac:dyDescent="0.25">
      <c r="A38" s="127">
        <v>27</v>
      </c>
      <c r="B38" s="125">
        <v>42851</v>
      </c>
      <c r="C38" s="116">
        <v>916.66</v>
      </c>
      <c r="D38" s="116">
        <v>141.44</v>
      </c>
      <c r="E38" s="116">
        <v>775.22</v>
      </c>
      <c r="F38" s="116">
        <v>27848.99</v>
      </c>
    </row>
    <row r="39" spans="1:6" ht="22.5" customHeight="1" x14ac:dyDescent="0.25">
      <c r="A39" s="127">
        <v>28</v>
      </c>
      <c r="B39" s="125">
        <v>42881</v>
      </c>
      <c r="C39" s="116">
        <v>916.66</v>
      </c>
      <c r="D39" s="116">
        <v>137.61000000000001</v>
      </c>
      <c r="E39" s="116">
        <v>779.05</v>
      </c>
      <c r="F39" s="116">
        <v>27069.94</v>
      </c>
    </row>
    <row r="40" spans="1:6" ht="22.5" customHeight="1" x14ac:dyDescent="0.25">
      <c r="A40" s="127">
        <v>29</v>
      </c>
      <c r="B40" s="125">
        <v>42912</v>
      </c>
      <c r="C40" s="116">
        <v>916.66</v>
      </c>
      <c r="D40" s="116">
        <v>133.76</v>
      </c>
      <c r="E40" s="116">
        <v>782.9</v>
      </c>
      <c r="F40" s="116">
        <v>26287.040000000001</v>
      </c>
    </row>
    <row r="41" spans="1:6" ht="22.5" customHeight="1" x14ac:dyDescent="0.25">
      <c r="A41" s="127">
        <v>30</v>
      </c>
      <c r="B41" s="125">
        <v>42942</v>
      </c>
      <c r="C41" s="116">
        <v>916.66</v>
      </c>
      <c r="D41" s="116">
        <v>129.88999999999999</v>
      </c>
      <c r="E41" s="116">
        <v>786.77</v>
      </c>
      <c r="F41" s="116">
        <v>25500.27</v>
      </c>
    </row>
    <row r="42" spans="1:6" ht="22.5" customHeight="1" x14ac:dyDescent="0.25">
      <c r="A42" s="127">
        <v>31</v>
      </c>
      <c r="B42" s="125">
        <v>42973</v>
      </c>
      <c r="C42" s="116">
        <v>916.66</v>
      </c>
      <c r="D42" s="116">
        <v>126</v>
      </c>
      <c r="E42" s="116">
        <v>790.66</v>
      </c>
      <c r="F42" s="116">
        <v>24709.61</v>
      </c>
    </row>
    <row r="43" spans="1:6" ht="22.5" customHeight="1" x14ac:dyDescent="0.25">
      <c r="A43" s="127">
        <v>32</v>
      </c>
      <c r="B43" s="125">
        <v>43004</v>
      </c>
      <c r="C43" s="116">
        <v>916.66</v>
      </c>
      <c r="D43" s="116">
        <v>122.09</v>
      </c>
      <c r="E43" s="116">
        <v>794.57</v>
      </c>
      <c r="F43" s="116">
        <v>23915.040000000001</v>
      </c>
    </row>
    <row r="44" spans="1:6" ht="22.5" customHeight="1" x14ac:dyDescent="0.25">
      <c r="A44" s="127">
        <v>33</v>
      </c>
      <c r="B44" s="125">
        <v>43034</v>
      </c>
      <c r="C44" s="116">
        <v>916.66</v>
      </c>
      <c r="D44" s="116">
        <v>118.17</v>
      </c>
      <c r="E44" s="116">
        <v>798.49</v>
      </c>
      <c r="F44" s="116">
        <v>23116.55</v>
      </c>
    </row>
    <row r="45" spans="1:6" ht="22.5" customHeight="1" x14ac:dyDescent="0.25">
      <c r="A45" s="127">
        <v>34</v>
      </c>
      <c r="B45" s="125">
        <v>43065</v>
      </c>
      <c r="C45" s="116">
        <v>916.66</v>
      </c>
      <c r="D45" s="116">
        <v>114.22</v>
      </c>
      <c r="E45" s="116">
        <v>802.44</v>
      </c>
      <c r="F45" s="116">
        <v>22314.11</v>
      </c>
    </row>
    <row r="46" spans="1:6" ht="22.5" customHeight="1" x14ac:dyDescent="0.25">
      <c r="A46" s="127">
        <v>35</v>
      </c>
      <c r="B46" s="125">
        <v>43095</v>
      </c>
      <c r="C46" s="116">
        <v>916.66</v>
      </c>
      <c r="D46" s="116">
        <v>110.26</v>
      </c>
      <c r="E46" s="116">
        <v>806.4</v>
      </c>
      <c r="F46" s="116">
        <v>21507.71</v>
      </c>
    </row>
    <row r="47" spans="1:6" ht="33.75" customHeight="1" x14ac:dyDescent="0.25">
      <c r="A47" s="128">
        <v>36</v>
      </c>
      <c r="B47" s="129">
        <v>43126</v>
      </c>
      <c r="C47" s="117">
        <v>916.66</v>
      </c>
      <c r="D47" s="117">
        <v>106.27</v>
      </c>
      <c r="E47" s="117">
        <v>810.39</v>
      </c>
      <c r="F47" s="117">
        <v>20697.32</v>
      </c>
    </row>
    <row r="48" spans="1:6" ht="22.5" customHeight="1" x14ac:dyDescent="0.25">
      <c r="A48" s="127">
        <v>37</v>
      </c>
      <c r="B48" s="125">
        <v>43157</v>
      </c>
      <c r="C48" s="116">
        <v>916.66</v>
      </c>
      <c r="D48" s="116">
        <v>102.27</v>
      </c>
      <c r="E48" s="116">
        <v>814.39</v>
      </c>
      <c r="F48" s="116">
        <v>19882.93</v>
      </c>
    </row>
    <row r="49" spans="1:6" ht="22.5" customHeight="1" x14ac:dyDescent="0.25">
      <c r="A49" s="127">
        <v>38</v>
      </c>
      <c r="B49" s="125">
        <v>43185</v>
      </c>
      <c r="C49" s="116">
        <v>916.66</v>
      </c>
      <c r="D49" s="116">
        <v>98.25</v>
      </c>
      <c r="E49" s="116">
        <v>818.41</v>
      </c>
      <c r="F49" s="116">
        <v>19064.52</v>
      </c>
    </row>
    <row r="50" spans="1:6" ht="22.5" customHeight="1" x14ac:dyDescent="0.25">
      <c r="A50" s="127">
        <v>39</v>
      </c>
      <c r="B50" s="125">
        <v>43216</v>
      </c>
      <c r="C50" s="116">
        <v>916.66</v>
      </c>
      <c r="D50" s="116">
        <v>94.2</v>
      </c>
      <c r="E50" s="116">
        <v>822.46</v>
      </c>
      <c r="F50" s="116">
        <v>18242.060000000001</v>
      </c>
    </row>
    <row r="51" spans="1:6" ht="22.5" customHeight="1" x14ac:dyDescent="0.25">
      <c r="A51" s="127">
        <v>40</v>
      </c>
      <c r="B51" s="125">
        <v>43246</v>
      </c>
      <c r="C51" s="116">
        <v>916.66</v>
      </c>
      <c r="D51" s="116">
        <v>90.14</v>
      </c>
      <c r="E51" s="116">
        <v>826.52</v>
      </c>
      <c r="F51" s="116">
        <v>17415.54</v>
      </c>
    </row>
    <row r="52" spans="1:6" ht="22.5" customHeight="1" x14ac:dyDescent="0.25">
      <c r="A52" s="127">
        <v>41</v>
      </c>
      <c r="B52" s="125">
        <v>43277</v>
      </c>
      <c r="C52" s="116">
        <v>916.66</v>
      </c>
      <c r="D52" s="116">
        <v>86.05</v>
      </c>
      <c r="E52" s="116">
        <v>830.61</v>
      </c>
      <c r="F52" s="116">
        <v>16584.93</v>
      </c>
    </row>
    <row r="53" spans="1:6" ht="22.5" customHeight="1" x14ac:dyDescent="0.25">
      <c r="A53" s="127">
        <v>42</v>
      </c>
      <c r="B53" s="125">
        <v>43307</v>
      </c>
      <c r="C53" s="116">
        <v>916.66</v>
      </c>
      <c r="D53" s="116">
        <v>81.95</v>
      </c>
      <c r="E53" s="116">
        <v>834.71</v>
      </c>
      <c r="F53" s="116">
        <v>15750.22</v>
      </c>
    </row>
    <row r="54" spans="1:6" ht="16.7" customHeight="1" x14ac:dyDescent="0.25">
      <c r="A54" s="127">
        <v>43</v>
      </c>
      <c r="B54" s="125">
        <v>43338</v>
      </c>
      <c r="C54" s="116">
        <v>916.66</v>
      </c>
      <c r="D54" s="116">
        <v>77.819999999999993</v>
      </c>
      <c r="E54" s="116">
        <v>838.84</v>
      </c>
      <c r="F54" s="116">
        <v>14911.38</v>
      </c>
    </row>
    <row r="55" spans="1:6" ht="16.7" customHeight="1" x14ac:dyDescent="0.25">
      <c r="A55" s="127">
        <v>44</v>
      </c>
      <c r="B55" s="125">
        <v>43369</v>
      </c>
      <c r="C55" s="116">
        <v>916.66</v>
      </c>
      <c r="D55" s="116">
        <v>73.680000000000007</v>
      </c>
      <c r="E55" s="116">
        <v>842.98</v>
      </c>
      <c r="F55" s="116">
        <v>14068.4</v>
      </c>
    </row>
    <row r="56" spans="1:6" ht="22.5" customHeight="1" x14ac:dyDescent="0.25">
      <c r="A56" s="127">
        <v>45</v>
      </c>
      <c r="B56" s="125">
        <v>43399</v>
      </c>
      <c r="C56" s="116">
        <v>916.66</v>
      </c>
      <c r="D56" s="116">
        <v>69.510000000000005</v>
      </c>
      <c r="E56" s="116">
        <v>847.15</v>
      </c>
      <c r="F56" s="116">
        <v>13221.25</v>
      </c>
    </row>
    <row r="57" spans="1:6" ht="22.5" customHeight="1" x14ac:dyDescent="0.25">
      <c r="A57" s="127">
        <v>46</v>
      </c>
      <c r="B57" s="125">
        <v>43430</v>
      </c>
      <c r="C57" s="116">
        <v>916.66</v>
      </c>
      <c r="D57" s="116">
        <v>65.33</v>
      </c>
      <c r="E57" s="116">
        <v>851.33</v>
      </c>
      <c r="F57" s="116">
        <v>12369.92</v>
      </c>
    </row>
    <row r="58" spans="1:6" ht="22.5" customHeight="1" x14ac:dyDescent="0.25">
      <c r="A58" s="127">
        <v>47</v>
      </c>
      <c r="B58" s="125">
        <v>43460</v>
      </c>
      <c r="C58" s="116">
        <v>916.66</v>
      </c>
      <c r="D58" s="116">
        <v>61.12</v>
      </c>
      <c r="E58" s="116">
        <v>855.54</v>
      </c>
      <c r="F58" s="116">
        <v>11514.38</v>
      </c>
    </row>
    <row r="59" spans="1:6" ht="22.5" customHeight="1" x14ac:dyDescent="0.25">
      <c r="A59" s="127">
        <v>48</v>
      </c>
      <c r="B59" s="125">
        <v>43491</v>
      </c>
      <c r="C59" s="116">
        <v>916.66</v>
      </c>
      <c r="D59" s="116">
        <v>56.89</v>
      </c>
      <c r="E59" s="116">
        <v>859.77</v>
      </c>
      <c r="F59" s="116">
        <v>10654.61</v>
      </c>
    </row>
    <row r="60" spans="1:6" ht="22.5" customHeight="1" x14ac:dyDescent="0.25">
      <c r="A60" s="127">
        <v>49</v>
      </c>
      <c r="B60" s="125">
        <v>43522</v>
      </c>
      <c r="C60" s="116">
        <v>916.66</v>
      </c>
      <c r="D60" s="116">
        <v>52.65</v>
      </c>
      <c r="E60" s="116">
        <v>864.01</v>
      </c>
      <c r="F60" s="116">
        <v>9790.6</v>
      </c>
    </row>
    <row r="61" spans="1:6" ht="16.7" customHeight="1" x14ac:dyDescent="0.25">
      <c r="A61" s="127">
        <v>50</v>
      </c>
      <c r="B61" s="125">
        <v>43550</v>
      </c>
      <c r="C61" s="116">
        <v>916.66</v>
      </c>
      <c r="D61" s="116">
        <v>48.38</v>
      </c>
      <c r="E61" s="116">
        <v>868.28</v>
      </c>
      <c r="F61" s="116">
        <v>8922.32</v>
      </c>
    </row>
    <row r="62" spans="1:6" ht="22.5" customHeight="1" x14ac:dyDescent="0.25">
      <c r="A62" s="127">
        <v>51</v>
      </c>
      <c r="B62" s="125">
        <v>43581</v>
      </c>
      <c r="C62" s="116">
        <v>916.66</v>
      </c>
      <c r="D62" s="116">
        <v>44.09</v>
      </c>
      <c r="E62" s="116">
        <v>872.57</v>
      </c>
      <c r="F62" s="116">
        <v>8049.75</v>
      </c>
    </row>
    <row r="63" spans="1:6" x14ac:dyDescent="0.25">
      <c r="A63" s="127">
        <v>52</v>
      </c>
      <c r="B63" s="125">
        <v>43611</v>
      </c>
      <c r="C63" s="116">
        <v>916.66</v>
      </c>
      <c r="D63" s="116">
        <v>39.78</v>
      </c>
      <c r="E63" s="116">
        <v>876.88</v>
      </c>
      <c r="F63" s="116">
        <v>7172.87</v>
      </c>
    </row>
    <row r="64" spans="1:6" x14ac:dyDescent="0.25">
      <c r="A64" s="127">
        <v>53</v>
      </c>
      <c r="B64" s="125">
        <v>43642</v>
      </c>
      <c r="C64" s="116">
        <v>916.66</v>
      </c>
      <c r="D64" s="116">
        <v>35.44</v>
      </c>
      <c r="E64" s="116">
        <v>881.22</v>
      </c>
      <c r="F64" s="116">
        <v>6291.65</v>
      </c>
    </row>
    <row r="65" spans="1:6" x14ac:dyDescent="0.25">
      <c r="A65" s="127">
        <v>54</v>
      </c>
      <c r="B65" s="125">
        <v>43672</v>
      </c>
      <c r="C65" s="116">
        <v>916.66</v>
      </c>
      <c r="D65" s="116">
        <v>31.09</v>
      </c>
      <c r="E65" s="116">
        <v>885.57</v>
      </c>
      <c r="F65" s="116">
        <v>5406.08</v>
      </c>
    </row>
    <row r="66" spans="1:6" x14ac:dyDescent="0.25">
      <c r="A66" s="127">
        <v>55</v>
      </c>
      <c r="B66" s="125">
        <v>43703</v>
      </c>
      <c r="C66" s="116">
        <v>916.66</v>
      </c>
      <c r="D66" s="116">
        <v>26.71</v>
      </c>
      <c r="E66" s="116">
        <v>889.95</v>
      </c>
      <c r="F66" s="116">
        <v>4516.13</v>
      </c>
    </row>
    <row r="67" spans="1:6" x14ac:dyDescent="0.25">
      <c r="A67" s="127">
        <v>56</v>
      </c>
      <c r="B67" s="125">
        <v>43734</v>
      </c>
      <c r="C67" s="116">
        <v>916.66</v>
      </c>
      <c r="D67" s="116">
        <v>22.32</v>
      </c>
      <c r="E67" s="116">
        <v>894.34</v>
      </c>
      <c r="F67" s="116">
        <v>3621.79</v>
      </c>
    </row>
    <row r="68" spans="1:6" x14ac:dyDescent="0.25">
      <c r="A68" s="127">
        <v>57</v>
      </c>
      <c r="B68" s="125">
        <v>43764</v>
      </c>
      <c r="C68" s="116">
        <v>916.66</v>
      </c>
      <c r="D68" s="116">
        <v>17.899999999999999</v>
      </c>
      <c r="E68" s="116">
        <v>898.76</v>
      </c>
      <c r="F68" s="116">
        <v>2723.03</v>
      </c>
    </row>
    <row r="69" spans="1:6" x14ac:dyDescent="0.25">
      <c r="A69" s="127">
        <v>58</v>
      </c>
      <c r="B69" s="125">
        <v>43795</v>
      </c>
      <c r="C69" s="116">
        <v>916.66</v>
      </c>
      <c r="D69" s="116">
        <v>13.45</v>
      </c>
      <c r="E69" s="116">
        <v>903.21</v>
      </c>
      <c r="F69" s="116">
        <v>1819.82</v>
      </c>
    </row>
    <row r="70" spans="1:6" ht="22.5" customHeight="1" x14ac:dyDescent="0.25">
      <c r="A70" s="127">
        <v>59</v>
      </c>
      <c r="B70" s="125">
        <v>43825</v>
      </c>
      <c r="C70" s="116">
        <v>916.66</v>
      </c>
      <c r="D70" s="116">
        <v>8.99</v>
      </c>
      <c r="E70" s="116">
        <v>907.67</v>
      </c>
      <c r="F70" s="116">
        <v>912.15</v>
      </c>
    </row>
    <row r="71" spans="1:6" ht="22.5" customHeight="1" x14ac:dyDescent="0.25">
      <c r="A71" s="127">
        <v>60</v>
      </c>
      <c r="B71" s="125">
        <v>43856</v>
      </c>
      <c r="C71" s="116">
        <v>916.66</v>
      </c>
      <c r="D71" s="116">
        <v>4.51</v>
      </c>
      <c r="E71" s="116">
        <v>912.15</v>
      </c>
      <c r="F71" s="118">
        <v>0</v>
      </c>
    </row>
    <row r="72" spans="1:6" ht="22.5" customHeight="1" x14ac:dyDescent="0.25">
      <c r="A72" s="82"/>
      <c r="C72" s="119">
        <f>SUM(C12:C71)</f>
        <v>54999.600000000086</v>
      </c>
      <c r="D72" s="119">
        <f>SUM(D12:D71)</f>
        <v>7504.26</v>
      </c>
      <c r="E72" s="119">
        <f>SUM(E12:E71)</f>
        <v>47495.34</v>
      </c>
      <c r="F72" s="120"/>
    </row>
    <row r="73" spans="1:6" ht="16.7" customHeight="1" x14ac:dyDescent="0.25">
      <c r="E73" s="121"/>
    </row>
    <row r="74" spans="1:6" ht="16.7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8D0A-456A-42AD-8BFA-FD26CC94EB4C}">
  <dimension ref="A1:N21"/>
  <sheetViews>
    <sheetView workbookViewId="0">
      <selection activeCell="G11" sqref="G11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9" width="6.85546875" bestFit="1" customWidth="1"/>
    <col min="10" max="10" width="10.5703125" bestFit="1" customWidth="1"/>
    <col min="11" max="12" width="9.5703125" bestFit="1" customWidth="1"/>
    <col min="13" max="14" width="10.570312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</row>
    <row r="2" spans="1:14" x14ac:dyDescent="0.25">
      <c r="A2" s="2" t="s">
        <v>19</v>
      </c>
      <c r="B2" s="2"/>
      <c r="C2" s="2"/>
      <c r="D2" s="2"/>
      <c r="E2" s="2"/>
      <c r="F2" s="2"/>
      <c r="G2" s="2"/>
    </row>
    <row r="3" spans="1:14" x14ac:dyDescent="0.25">
      <c r="A3" s="2" t="s">
        <v>20</v>
      </c>
      <c r="B3" s="2"/>
      <c r="C3" s="2"/>
      <c r="D3" s="2"/>
      <c r="E3" s="2"/>
      <c r="F3" s="2"/>
      <c r="G3" s="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4" t="s">
        <v>9</v>
      </c>
      <c r="B5" s="4"/>
      <c r="C5" s="4"/>
      <c r="D5" s="4"/>
      <c r="E5" s="4"/>
      <c r="F5" s="4"/>
      <c r="G5" s="4"/>
    </row>
    <row r="6" spans="1:14" x14ac:dyDescent="0.25">
      <c r="A6" s="5" t="s">
        <v>10</v>
      </c>
      <c r="B6" s="5"/>
      <c r="C6" s="5"/>
      <c r="D6" s="5"/>
      <c r="E6" s="5"/>
      <c r="F6" s="5"/>
      <c r="G6" s="5"/>
    </row>
    <row r="7" spans="1:14" x14ac:dyDescent="0.25">
      <c r="A7" s="6" t="s">
        <v>21</v>
      </c>
      <c r="B7" s="6"/>
      <c r="C7" s="6"/>
      <c r="D7" s="6"/>
      <c r="E7" s="6"/>
      <c r="F7" s="6"/>
      <c r="G7" s="6"/>
    </row>
    <row r="8" spans="1:14" x14ac:dyDescent="0.25">
      <c r="A8" s="6" t="s">
        <v>22</v>
      </c>
      <c r="B8" s="6"/>
      <c r="C8" s="6"/>
      <c r="D8" s="6"/>
      <c r="E8" s="6"/>
      <c r="F8" s="6"/>
      <c r="G8" s="6"/>
    </row>
    <row r="10" spans="1:14" ht="45" x14ac:dyDescent="0.25">
      <c r="A10" s="38" t="s">
        <v>13</v>
      </c>
      <c r="B10" s="38" t="s">
        <v>14</v>
      </c>
      <c r="C10" s="38" t="s">
        <v>15</v>
      </c>
      <c r="D10" s="38" t="s">
        <v>16</v>
      </c>
      <c r="E10" s="249" t="s">
        <v>118</v>
      </c>
      <c r="F10" s="38" t="s">
        <v>17</v>
      </c>
      <c r="G10" s="250" t="s">
        <v>97</v>
      </c>
      <c r="I10" s="262" t="s">
        <v>208</v>
      </c>
      <c r="J10" s="256" t="s">
        <v>52</v>
      </c>
      <c r="K10" s="256" t="s">
        <v>206</v>
      </c>
      <c r="L10" s="257" t="s">
        <v>205</v>
      </c>
      <c r="M10" s="256" t="s">
        <v>207</v>
      </c>
      <c r="N10" s="257" t="s">
        <v>204</v>
      </c>
    </row>
    <row r="11" spans="1:14" x14ac:dyDescent="0.25">
      <c r="A11" s="8"/>
      <c r="B11" s="8"/>
      <c r="C11" s="9"/>
      <c r="D11" s="9"/>
      <c r="E11" s="246"/>
      <c r="F11" s="9"/>
      <c r="G11" s="248">
        <v>88076.6</v>
      </c>
    </row>
    <row r="12" spans="1:14" x14ac:dyDescent="0.25">
      <c r="A12" s="1">
        <v>1</v>
      </c>
      <c r="B12" s="11">
        <v>42438</v>
      </c>
      <c r="C12" s="12">
        <v>12132.2</v>
      </c>
      <c r="D12" s="12">
        <v>0</v>
      </c>
      <c r="E12" s="247">
        <f>D21-D12</f>
        <v>8980.9999999999982</v>
      </c>
      <c r="F12" s="12">
        <f>C12-D12</f>
        <v>12132.2</v>
      </c>
      <c r="G12" s="247">
        <f>G11-F12</f>
        <v>75944.400000000009</v>
      </c>
      <c r="I12" s="1" t="s">
        <v>56</v>
      </c>
      <c r="J12" s="14">
        <f>C12+C13</f>
        <v>24264.400000000001</v>
      </c>
      <c r="K12" s="14">
        <f>D12+D13</f>
        <v>2183.4</v>
      </c>
      <c r="L12" s="14">
        <f>E13</f>
        <v>6797.5999999999985</v>
      </c>
      <c r="M12" s="14">
        <f>F12+F13</f>
        <v>22081</v>
      </c>
      <c r="N12" s="14">
        <f>G13</f>
        <v>65995.600000000006</v>
      </c>
    </row>
    <row r="13" spans="1:14" x14ac:dyDescent="0.25">
      <c r="A13" s="1">
        <v>2</v>
      </c>
      <c r="B13" s="11">
        <v>42622</v>
      </c>
      <c r="C13" s="12">
        <f>C12</f>
        <v>12132.2</v>
      </c>
      <c r="D13" s="12">
        <v>2183.4</v>
      </c>
      <c r="E13" s="247">
        <f>E12-D13</f>
        <v>6797.5999999999985</v>
      </c>
      <c r="F13" s="12">
        <f>C13-D13</f>
        <v>9948.8000000000011</v>
      </c>
      <c r="G13" s="247">
        <f t="shared" ref="G13:G18" si="0">G12-F13</f>
        <v>65995.600000000006</v>
      </c>
      <c r="I13" s="1" t="s">
        <v>57</v>
      </c>
      <c r="J13" s="14">
        <f>C14+C15</f>
        <v>24264.400000000001</v>
      </c>
      <c r="K13" s="14">
        <f>D14+D15</f>
        <v>3500.49</v>
      </c>
      <c r="L13" s="14">
        <f>L12-K13</f>
        <v>3297.1099999999988</v>
      </c>
      <c r="M13" s="14">
        <f>F14+F15</f>
        <v>20763.910000000003</v>
      </c>
      <c r="N13" s="14">
        <f>N12-M13</f>
        <v>45231.69</v>
      </c>
    </row>
    <row r="14" spans="1:14" x14ac:dyDescent="0.25">
      <c r="A14" s="1">
        <v>3</v>
      </c>
      <c r="B14" s="11">
        <v>42803</v>
      </c>
      <c r="C14" s="12">
        <f t="shared" ref="C14:C19" si="1">C13</f>
        <v>12132.2</v>
      </c>
      <c r="D14" s="12">
        <v>1897.37</v>
      </c>
      <c r="E14" s="247">
        <f t="shared" ref="E14:E19" si="2">E13-D14</f>
        <v>4900.2299999999987</v>
      </c>
      <c r="F14" s="12">
        <f t="shared" ref="F14:F19" si="3">C14-D14</f>
        <v>10234.830000000002</v>
      </c>
      <c r="G14" s="247">
        <f t="shared" si="0"/>
        <v>55760.770000000004</v>
      </c>
      <c r="I14" s="1" t="s">
        <v>58</v>
      </c>
      <c r="J14" s="14">
        <f>C16+C17</f>
        <v>24264.400000000001</v>
      </c>
      <c r="K14" s="14">
        <f>D16+D17</f>
        <v>2289.41</v>
      </c>
      <c r="L14" s="14">
        <f>L13-K14</f>
        <v>1007.6999999999989</v>
      </c>
      <c r="M14" s="14">
        <f>F16+F17</f>
        <v>21974.99</v>
      </c>
      <c r="N14" s="14">
        <f>N13-M14</f>
        <v>23256.7</v>
      </c>
    </row>
    <row r="15" spans="1:14" x14ac:dyDescent="0.25">
      <c r="A15" s="1">
        <v>4</v>
      </c>
      <c r="B15" s="11">
        <v>42987</v>
      </c>
      <c r="C15" s="12">
        <f t="shared" si="1"/>
        <v>12132.2</v>
      </c>
      <c r="D15" s="12">
        <v>1603.12</v>
      </c>
      <c r="E15" s="247">
        <f t="shared" si="2"/>
        <v>3297.1099999999988</v>
      </c>
      <c r="F15" s="12">
        <f t="shared" si="3"/>
        <v>10529.080000000002</v>
      </c>
      <c r="G15" s="247">
        <f t="shared" si="0"/>
        <v>45231.69</v>
      </c>
      <c r="I15" s="1" t="s">
        <v>59</v>
      </c>
      <c r="J15" s="14">
        <f>C18+C19</f>
        <v>24264.400000000001</v>
      </c>
      <c r="K15" s="14">
        <f>D18+D19</f>
        <v>1007.7</v>
      </c>
      <c r="L15" s="14">
        <f>L14-K15</f>
        <v>-1.1368683772161603E-12</v>
      </c>
      <c r="M15" s="14">
        <f>F18+F19</f>
        <v>23256.700000000004</v>
      </c>
      <c r="N15" s="14">
        <f>N14-M15</f>
        <v>0</v>
      </c>
    </row>
    <row r="16" spans="1:14" x14ac:dyDescent="0.25">
      <c r="A16" s="1">
        <v>5</v>
      </c>
      <c r="B16" s="11">
        <v>43168</v>
      </c>
      <c r="C16" s="12">
        <f t="shared" si="1"/>
        <v>12132.2</v>
      </c>
      <c r="D16" s="12">
        <v>1300.4100000000001</v>
      </c>
      <c r="E16" s="247">
        <f t="shared" si="2"/>
        <v>1996.6999999999987</v>
      </c>
      <c r="F16" s="12">
        <f t="shared" si="3"/>
        <v>10831.79</v>
      </c>
      <c r="G16" s="247">
        <f t="shared" si="0"/>
        <v>34399.9</v>
      </c>
    </row>
    <row r="17" spans="1:7" x14ac:dyDescent="0.25">
      <c r="A17" s="1">
        <v>6</v>
      </c>
      <c r="B17" s="11">
        <v>43352</v>
      </c>
      <c r="C17" s="12">
        <f t="shared" si="1"/>
        <v>12132.2</v>
      </c>
      <c r="D17" s="12">
        <v>989</v>
      </c>
      <c r="E17" s="247">
        <f t="shared" si="2"/>
        <v>1007.6999999999987</v>
      </c>
      <c r="F17" s="12">
        <f t="shared" si="3"/>
        <v>11143.2</v>
      </c>
      <c r="G17" s="247">
        <f t="shared" si="0"/>
        <v>23256.7</v>
      </c>
    </row>
    <row r="18" spans="1:7" x14ac:dyDescent="0.25">
      <c r="A18" s="1">
        <v>7</v>
      </c>
      <c r="B18" s="11">
        <v>43533</v>
      </c>
      <c r="C18" s="12">
        <f t="shared" si="1"/>
        <v>12132.2</v>
      </c>
      <c r="D18" s="12">
        <v>668.63</v>
      </c>
      <c r="E18" s="247">
        <f t="shared" si="2"/>
        <v>339.06999999999869</v>
      </c>
      <c r="F18" s="12">
        <f t="shared" si="3"/>
        <v>11463.570000000002</v>
      </c>
      <c r="G18" s="247">
        <f t="shared" si="0"/>
        <v>11793.13</v>
      </c>
    </row>
    <row r="19" spans="1:7" x14ac:dyDescent="0.25">
      <c r="A19" s="1">
        <v>8</v>
      </c>
      <c r="B19" s="11">
        <v>43717</v>
      </c>
      <c r="C19" s="12">
        <f t="shared" si="1"/>
        <v>12132.2</v>
      </c>
      <c r="D19" s="12">
        <v>339.07</v>
      </c>
      <c r="E19" s="247">
        <f t="shared" si="2"/>
        <v>-1.3073986337985843E-12</v>
      </c>
      <c r="F19" s="12">
        <f t="shared" si="3"/>
        <v>11793.130000000001</v>
      </c>
      <c r="G19" s="247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18</v>
      </c>
      <c r="C21" s="14">
        <f t="shared" ref="C21:F21" si="4">SUM(C12:C19)</f>
        <v>97057.599999999991</v>
      </c>
      <c r="D21" s="14">
        <f t="shared" si="4"/>
        <v>8980.9999999999982</v>
      </c>
      <c r="E21" s="14"/>
      <c r="F21" s="14">
        <f t="shared" si="4"/>
        <v>88076.60000000002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8D44-2659-41F6-A7D3-1F16E32FA8B3}">
  <dimension ref="A1:N21"/>
  <sheetViews>
    <sheetView topLeftCell="A2" workbookViewId="0">
      <selection activeCell="E11" sqref="E11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5" width="10.7109375" customWidth="1"/>
  </cols>
  <sheetData>
    <row r="1" spans="1:14" x14ac:dyDescent="0.25">
      <c r="A1" s="2"/>
      <c r="B1" s="2"/>
      <c r="C1" s="2"/>
      <c r="D1" s="2"/>
      <c r="E1" s="2"/>
      <c r="F1" s="2"/>
      <c r="G1" s="2"/>
    </row>
    <row r="2" spans="1:14" x14ac:dyDescent="0.25">
      <c r="A2" s="2" t="s">
        <v>19</v>
      </c>
      <c r="B2" s="2"/>
      <c r="C2" s="2"/>
      <c r="D2" s="2"/>
      <c r="E2" s="2"/>
      <c r="F2" s="2"/>
      <c r="G2" s="2"/>
    </row>
    <row r="3" spans="1:14" x14ac:dyDescent="0.25">
      <c r="A3" s="2" t="s">
        <v>26</v>
      </c>
      <c r="B3" s="2"/>
      <c r="C3" s="2"/>
      <c r="D3" s="2"/>
      <c r="E3" s="2"/>
      <c r="F3" s="2"/>
      <c r="G3" s="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4" t="s">
        <v>9</v>
      </c>
      <c r="B5" s="4"/>
      <c r="C5" s="4"/>
      <c r="D5" s="4"/>
      <c r="E5" s="4"/>
      <c r="F5" s="4"/>
      <c r="G5" s="4"/>
    </row>
    <row r="6" spans="1:14" x14ac:dyDescent="0.25">
      <c r="A6" s="5" t="s">
        <v>10</v>
      </c>
      <c r="B6" s="5"/>
      <c r="C6" s="5"/>
      <c r="D6" s="5"/>
      <c r="E6" s="5"/>
      <c r="F6" s="5"/>
      <c r="G6" s="5"/>
    </row>
    <row r="7" spans="1:14" x14ac:dyDescent="0.25">
      <c r="A7" s="6" t="s">
        <v>21</v>
      </c>
      <c r="B7" s="6"/>
      <c r="C7" s="6"/>
      <c r="D7" s="6"/>
      <c r="E7" s="6"/>
      <c r="F7" s="6"/>
      <c r="G7" s="6"/>
    </row>
    <row r="8" spans="1:14" x14ac:dyDescent="0.25">
      <c r="A8" s="6" t="s">
        <v>27</v>
      </c>
      <c r="B8" s="6"/>
      <c r="C8" s="6"/>
      <c r="D8" s="6"/>
      <c r="E8" s="6"/>
      <c r="F8" s="6"/>
      <c r="G8" s="6"/>
    </row>
    <row r="10" spans="1:14" ht="45" x14ac:dyDescent="0.25">
      <c r="A10" s="7" t="s">
        <v>13</v>
      </c>
      <c r="B10" s="7" t="s">
        <v>14</v>
      </c>
      <c r="C10" s="7" t="s">
        <v>15</v>
      </c>
      <c r="D10" s="7" t="s">
        <v>16</v>
      </c>
      <c r="E10" s="250" t="s">
        <v>118</v>
      </c>
      <c r="F10" s="7" t="s">
        <v>17</v>
      </c>
      <c r="G10" s="250" t="s">
        <v>97</v>
      </c>
      <c r="I10" s="262" t="s">
        <v>208</v>
      </c>
      <c r="J10" s="256" t="s">
        <v>52</v>
      </c>
      <c r="K10" s="256" t="s">
        <v>206</v>
      </c>
      <c r="L10" s="257" t="s">
        <v>205</v>
      </c>
      <c r="M10" s="256" t="s">
        <v>207</v>
      </c>
      <c r="N10" s="257" t="s">
        <v>204</v>
      </c>
    </row>
    <row r="11" spans="1:14" x14ac:dyDescent="0.25">
      <c r="A11" s="8"/>
      <c r="B11" s="8"/>
      <c r="C11" s="9"/>
      <c r="D11" s="9"/>
      <c r="E11" s="246"/>
      <c r="F11" s="9"/>
      <c r="G11" s="248">
        <v>80737.100000000006</v>
      </c>
    </row>
    <row r="12" spans="1:14" x14ac:dyDescent="0.25">
      <c r="A12" s="1">
        <v>1</v>
      </c>
      <c r="B12" s="11">
        <v>42473</v>
      </c>
      <c r="C12" s="12">
        <v>11121.21</v>
      </c>
      <c r="D12" s="12">
        <v>0</v>
      </c>
      <c r="E12" s="247">
        <f>D21-D12</f>
        <v>8232.58</v>
      </c>
      <c r="F12" s="12">
        <f>C12-D12</f>
        <v>11121.21</v>
      </c>
      <c r="G12" s="247">
        <f>G11-F12</f>
        <v>69615.890000000014</v>
      </c>
      <c r="I12" s="1" t="s">
        <v>56</v>
      </c>
      <c r="J12" s="14">
        <f>C11+C12</f>
        <v>11121.21</v>
      </c>
      <c r="K12" s="14">
        <f>D11+D12</f>
        <v>0</v>
      </c>
      <c r="L12" s="14">
        <f>E12</f>
        <v>8232.58</v>
      </c>
      <c r="M12" s="14">
        <f>F11+F12</f>
        <v>11121.21</v>
      </c>
      <c r="N12" s="14">
        <f>G12</f>
        <v>69615.890000000014</v>
      </c>
    </row>
    <row r="13" spans="1:14" x14ac:dyDescent="0.25">
      <c r="A13" s="1">
        <v>2</v>
      </c>
      <c r="B13" s="11">
        <v>42656</v>
      </c>
      <c r="C13" s="12">
        <f>C12</f>
        <v>11121.21</v>
      </c>
      <c r="D13" s="12">
        <v>2001.46</v>
      </c>
      <c r="E13" s="247">
        <f>E12-D13</f>
        <v>6231.12</v>
      </c>
      <c r="F13" s="12">
        <f>C13-D13</f>
        <v>9119.75</v>
      </c>
      <c r="G13" s="247">
        <f t="shared" ref="G13:G18" si="0">G12-F13</f>
        <v>60496.140000000014</v>
      </c>
      <c r="I13" s="1" t="s">
        <v>57</v>
      </c>
      <c r="J13" s="14">
        <f>C13+C14</f>
        <v>22242.42</v>
      </c>
      <c r="K13" s="14">
        <f>D13+D14</f>
        <v>3740.7200000000003</v>
      </c>
      <c r="L13" s="14">
        <f>L12-K13</f>
        <v>4491.8599999999997</v>
      </c>
      <c r="M13" s="14">
        <f>F13+F14</f>
        <v>18501.699999999997</v>
      </c>
      <c r="N13" s="14">
        <f>N12-M13</f>
        <v>51114.190000000017</v>
      </c>
    </row>
    <row r="14" spans="1:14" x14ac:dyDescent="0.25">
      <c r="A14" s="1">
        <v>3</v>
      </c>
      <c r="B14" s="11">
        <v>42838</v>
      </c>
      <c r="C14" s="12">
        <f t="shared" ref="C14:C19" si="1">C13</f>
        <v>11121.21</v>
      </c>
      <c r="D14" s="12">
        <v>1739.26</v>
      </c>
      <c r="E14" s="247">
        <f t="shared" ref="E14:E19" si="2">E13-D14</f>
        <v>4491.8599999999997</v>
      </c>
      <c r="F14" s="12">
        <f t="shared" ref="F14:F19" si="3">C14-D14</f>
        <v>9381.9499999999989</v>
      </c>
      <c r="G14" s="247">
        <f t="shared" si="0"/>
        <v>51114.190000000017</v>
      </c>
      <c r="I14" s="1" t="s">
        <v>58</v>
      </c>
      <c r="J14" s="14">
        <f>C15+C16</f>
        <v>22242.42</v>
      </c>
      <c r="K14" s="14">
        <f>D15+D16</f>
        <v>2661.58</v>
      </c>
      <c r="L14" s="14">
        <f>L13-K14</f>
        <v>1830.2799999999997</v>
      </c>
      <c r="M14" s="14">
        <f>F15+F16</f>
        <v>19580.839999999997</v>
      </c>
      <c r="N14" s="14">
        <f>N13-M14</f>
        <v>31533.35000000002</v>
      </c>
    </row>
    <row r="15" spans="1:14" x14ac:dyDescent="0.25">
      <c r="A15" s="1">
        <v>4</v>
      </c>
      <c r="B15" s="11">
        <v>43021</v>
      </c>
      <c r="C15" s="12">
        <f t="shared" si="1"/>
        <v>11121.21</v>
      </c>
      <c r="D15" s="12">
        <v>1469.53</v>
      </c>
      <c r="E15" s="247">
        <f t="shared" si="2"/>
        <v>3022.33</v>
      </c>
      <c r="F15" s="12">
        <f t="shared" si="3"/>
        <v>9651.6799999999985</v>
      </c>
      <c r="G15" s="247">
        <f t="shared" si="0"/>
        <v>41462.510000000017</v>
      </c>
      <c r="I15" s="1" t="s">
        <v>59</v>
      </c>
      <c r="J15" s="14">
        <f>C17+C18</f>
        <v>22242.42</v>
      </c>
      <c r="K15" s="14">
        <f>D17+D18</f>
        <v>1519.49</v>
      </c>
      <c r="L15" s="14">
        <f>L14-K15</f>
        <v>310.78999999999974</v>
      </c>
      <c r="M15" s="14">
        <f>F17+F18</f>
        <v>20722.93</v>
      </c>
      <c r="N15" s="14">
        <f>N14-M15</f>
        <v>10810.42000000002</v>
      </c>
    </row>
    <row r="16" spans="1:14" x14ac:dyDescent="0.25">
      <c r="A16" s="1">
        <v>5</v>
      </c>
      <c r="B16" s="11">
        <v>43203</v>
      </c>
      <c r="C16" s="12">
        <f t="shared" si="1"/>
        <v>11121.21</v>
      </c>
      <c r="D16" s="12">
        <v>1192.05</v>
      </c>
      <c r="E16" s="247">
        <f t="shared" si="2"/>
        <v>1830.28</v>
      </c>
      <c r="F16" s="12">
        <f t="shared" si="3"/>
        <v>9929.16</v>
      </c>
      <c r="G16" s="247">
        <f t="shared" si="0"/>
        <v>31533.350000000017</v>
      </c>
      <c r="I16" s="1" t="s">
        <v>60</v>
      </c>
      <c r="J16" s="14">
        <f>C19</f>
        <v>11121.21</v>
      </c>
      <c r="K16" s="14">
        <f>D19</f>
        <v>310.79000000000002</v>
      </c>
      <c r="L16" s="14">
        <f>L15-K16</f>
        <v>0</v>
      </c>
      <c r="M16" s="14">
        <f>F19</f>
        <v>10810.419999999998</v>
      </c>
      <c r="N16" s="14">
        <f>N15-M16</f>
        <v>2.1827872842550278E-11</v>
      </c>
    </row>
    <row r="17" spans="1:7" x14ac:dyDescent="0.25">
      <c r="A17" s="1">
        <v>6</v>
      </c>
      <c r="B17" s="11">
        <v>43386</v>
      </c>
      <c r="C17" s="12">
        <f t="shared" si="1"/>
        <v>11121.21</v>
      </c>
      <c r="D17" s="12">
        <v>906.58</v>
      </c>
      <c r="E17" s="247">
        <f t="shared" si="2"/>
        <v>923.69999999999993</v>
      </c>
      <c r="F17" s="12">
        <f t="shared" si="3"/>
        <v>10214.629999999999</v>
      </c>
      <c r="G17" s="247">
        <f t="shared" si="0"/>
        <v>21318.720000000016</v>
      </c>
    </row>
    <row r="18" spans="1:7" x14ac:dyDescent="0.25">
      <c r="A18" s="1">
        <v>7</v>
      </c>
      <c r="B18" s="11">
        <v>43568</v>
      </c>
      <c r="C18" s="12">
        <f t="shared" si="1"/>
        <v>11121.21</v>
      </c>
      <c r="D18" s="12">
        <v>612.91</v>
      </c>
      <c r="E18" s="247">
        <f t="shared" si="2"/>
        <v>310.78999999999996</v>
      </c>
      <c r="F18" s="12">
        <f t="shared" si="3"/>
        <v>10508.3</v>
      </c>
      <c r="G18" s="247">
        <f t="shared" si="0"/>
        <v>10810.420000000016</v>
      </c>
    </row>
    <row r="19" spans="1:7" x14ac:dyDescent="0.25">
      <c r="A19" s="1">
        <v>8</v>
      </c>
      <c r="B19" s="11">
        <v>43751</v>
      </c>
      <c r="C19" s="12">
        <f t="shared" si="1"/>
        <v>11121.21</v>
      </c>
      <c r="D19" s="12">
        <v>310.79000000000002</v>
      </c>
      <c r="E19" s="247">
        <f t="shared" si="2"/>
        <v>0</v>
      </c>
      <c r="F19" s="12">
        <f t="shared" si="3"/>
        <v>10810.419999999998</v>
      </c>
      <c r="G19" s="247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18</v>
      </c>
      <c r="C21" s="14">
        <f t="shared" ref="C21:F21" si="4">SUM(C12:C19)</f>
        <v>88969.68</v>
      </c>
      <c r="D21" s="14">
        <f t="shared" si="4"/>
        <v>8232.58</v>
      </c>
      <c r="E21" s="14"/>
      <c r="F21" s="14">
        <f t="shared" si="4"/>
        <v>80737.099999999991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FEB0-6B73-475B-A0DB-D648540F852F}">
  <dimension ref="A1:N22"/>
  <sheetViews>
    <sheetView workbookViewId="0">
      <selection activeCell="J16" sqref="J16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10" max="10" width="11.5703125" bestFit="1" customWidth="1"/>
    <col min="11" max="12" width="10.5703125" bestFit="1" customWidth="1"/>
    <col min="13" max="14" width="11.570312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</row>
    <row r="2" spans="1:14" x14ac:dyDescent="0.25">
      <c r="A2" s="2" t="s">
        <v>19</v>
      </c>
      <c r="B2" s="2"/>
      <c r="C2" s="2"/>
      <c r="D2" s="2"/>
      <c r="E2" s="2"/>
      <c r="F2" s="2"/>
      <c r="G2" s="2"/>
    </row>
    <row r="3" spans="1:14" x14ac:dyDescent="0.25">
      <c r="A3" s="2" t="s">
        <v>23</v>
      </c>
      <c r="B3" s="2"/>
      <c r="C3" s="2"/>
      <c r="D3" s="2"/>
      <c r="E3" s="2"/>
      <c r="F3" s="2"/>
      <c r="G3" s="2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4" t="s">
        <v>9</v>
      </c>
      <c r="B5" s="4"/>
      <c r="C5" s="4"/>
      <c r="D5" s="4"/>
      <c r="E5" s="4"/>
      <c r="F5" s="4"/>
      <c r="G5" s="4"/>
    </row>
    <row r="6" spans="1:14" x14ac:dyDescent="0.25">
      <c r="A6" s="5" t="s">
        <v>10</v>
      </c>
      <c r="B6" s="5"/>
      <c r="C6" s="5"/>
      <c r="D6" s="5"/>
      <c r="E6" s="5"/>
      <c r="F6" s="5"/>
      <c r="G6" s="5"/>
    </row>
    <row r="7" spans="1:14" x14ac:dyDescent="0.25">
      <c r="A7" s="6" t="s">
        <v>24</v>
      </c>
      <c r="B7" s="6"/>
      <c r="C7" s="6"/>
      <c r="D7" s="6"/>
      <c r="E7" s="6"/>
      <c r="F7" s="6"/>
      <c r="G7" s="6"/>
    </row>
    <row r="8" spans="1:14" x14ac:dyDescent="0.25">
      <c r="A8" s="6" t="s">
        <v>25</v>
      </c>
      <c r="B8" s="6"/>
      <c r="C8" s="6"/>
      <c r="D8" s="6"/>
      <c r="E8" s="6"/>
      <c r="F8" s="6"/>
      <c r="G8" s="6"/>
    </row>
    <row r="10" spans="1:14" ht="45" x14ac:dyDescent="0.25">
      <c r="A10" s="7" t="s">
        <v>13</v>
      </c>
      <c r="B10" s="7" t="s">
        <v>14</v>
      </c>
      <c r="C10" s="7" t="s">
        <v>15</v>
      </c>
      <c r="D10" s="7" t="s">
        <v>16</v>
      </c>
      <c r="E10" s="250" t="s">
        <v>118</v>
      </c>
      <c r="F10" s="7" t="s">
        <v>17</v>
      </c>
      <c r="G10" s="250" t="s">
        <v>97</v>
      </c>
      <c r="I10" s="262" t="s">
        <v>208</v>
      </c>
      <c r="J10" s="256" t="s">
        <v>52</v>
      </c>
      <c r="K10" s="256" t="s">
        <v>206</v>
      </c>
      <c r="L10" s="257" t="s">
        <v>205</v>
      </c>
      <c r="M10" s="256" t="s">
        <v>207</v>
      </c>
      <c r="N10" s="257" t="s">
        <v>204</v>
      </c>
    </row>
    <row r="11" spans="1:14" x14ac:dyDescent="0.25">
      <c r="A11" s="8"/>
      <c r="B11" s="8"/>
      <c r="C11" s="9"/>
      <c r="D11" s="9"/>
      <c r="E11" s="246">
        <v>35548.32</v>
      </c>
      <c r="F11" s="9"/>
      <c r="G11" s="248">
        <v>368056</v>
      </c>
    </row>
    <row r="12" spans="1:14" x14ac:dyDescent="0.25">
      <c r="A12" s="1">
        <v>1</v>
      </c>
      <c r="B12" s="11">
        <v>43301</v>
      </c>
      <c r="C12" s="12">
        <v>50450.54</v>
      </c>
      <c r="D12" s="12">
        <v>0</v>
      </c>
      <c r="E12" s="247">
        <f>E11-D12</f>
        <v>35548.32</v>
      </c>
      <c r="F12" s="12">
        <f>C12-D12</f>
        <v>50450.54</v>
      </c>
      <c r="G12" s="247">
        <f>G11-F12</f>
        <v>317605.46000000002</v>
      </c>
      <c r="I12" s="1" t="s">
        <v>58</v>
      </c>
      <c r="J12" s="14">
        <f>C11+C12</f>
        <v>50450.54</v>
      </c>
      <c r="K12" s="14">
        <f>D11+D12</f>
        <v>0</v>
      </c>
      <c r="L12" s="14">
        <f>E12</f>
        <v>35548.32</v>
      </c>
      <c r="M12" s="14">
        <f>F11+F12</f>
        <v>50450.54</v>
      </c>
      <c r="N12" s="14">
        <f>G12</f>
        <v>317605.46000000002</v>
      </c>
    </row>
    <row r="13" spans="1:14" x14ac:dyDescent="0.25">
      <c r="A13" s="1">
        <v>2</v>
      </c>
      <c r="B13" s="11">
        <v>43485</v>
      </c>
      <c r="C13" s="12">
        <f>C12</f>
        <v>50450.54</v>
      </c>
      <c r="D13" s="12">
        <v>8654.75</v>
      </c>
      <c r="E13" s="247">
        <f>E12-D13</f>
        <v>26893.57</v>
      </c>
      <c r="F13" s="12">
        <f>C13-D13</f>
        <v>41795.79</v>
      </c>
      <c r="G13" s="247">
        <f t="shared" ref="G13:G18" si="0">G12-F13</f>
        <v>275809.67000000004</v>
      </c>
      <c r="I13" s="1" t="s">
        <v>59</v>
      </c>
      <c r="J13" s="14">
        <f>C13+C14</f>
        <v>100901.08</v>
      </c>
      <c r="K13" s="14">
        <f>D13+D14</f>
        <v>16170.560000000001</v>
      </c>
      <c r="L13" s="14">
        <f>L12-K13</f>
        <v>19377.759999999998</v>
      </c>
      <c r="M13" s="14">
        <f>F13+F14</f>
        <v>84730.52</v>
      </c>
      <c r="N13" s="14">
        <f>N12-M13</f>
        <v>232874.94</v>
      </c>
    </row>
    <row r="14" spans="1:14" x14ac:dyDescent="0.25">
      <c r="A14" s="1">
        <v>3</v>
      </c>
      <c r="B14" s="11">
        <v>43666</v>
      </c>
      <c r="C14" s="12">
        <f t="shared" ref="C14:C18" si="1">C13</f>
        <v>50450.54</v>
      </c>
      <c r="D14" s="12">
        <v>7515.81</v>
      </c>
      <c r="E14" s="247">
        <f t="shared" ref="E14:E18" si="2">E13-D14</f>
        <v>19377.759999999998</v>
      </c>
      <c r="F14" s="12">
        <f t="shared" ref="F14:F20" si="3">C14-D14</f>
        <v>42934.73</v>
      </c>
      <c r="G14" s="247">
        <f t="shared" si="0"/>
        <v>232874.94000000003</v>
      </c>
      <c r="I14" s="1" t="s">
        <v>60</v>
      </c>
      <c r="J14" s="14">
        <f>C15+C16</f>
        <v>100901.08</v>
      </c>
      <c r="K14" s="14">
        <f>D15+D16</f>
        <v>11489.83</v>
      </c>
      <c r="L14" s="14">
        <f>L13-K14</f>
        <v>7887.9299999999985</v>
      </c>
      <c r="M14" s="14">
        <f>F15+F16</f>
        <v>89411.25</v>
      </c>
      <c r="N14" s="14">
        <f>N13-M14</f>
        <v>143463.69</v>
      </c>
    </row>
    <row r="15" spans="1:14" x14ac:dyDescent="0.25">
      <c r="A15" s="1">
        <v>4</v>
      </c>
      <c r="B15" s="11">
        <v>43850</v>
      </c>
      <c r="C15" s="12">
        <f t="shared" si="1"/>
        <v>50450.54</v>
      </c>
      <c r="D15" s="12">
        <v>6345.84</v>
      </c>
      <c r="E15" s="247">
        <f t="shared" si="2"/>
        <v>13031.919999999998</v>
      </c>
      <c r="F15" s="12">
        <f t="shared" si="3"/>
        <v>44104.7</v>
      </c>
      <c r="G15" s="247">
        <f t="shared" si="0"/>
        <v>188770.24000000005</v>
      </c>
      <c r="I15" s="1" t="s">
        <v>61</v>
      </c>
      <c r="J15" s="14">
        <f>C17+C18+C19</f>
        <v>150238.28</v>
      </c>
      <c r="K15" s="14">
        <f>D17+D18+D19</f>
        <v>6774.59</v>
      </c>
      <c r="L15" s="14">
        <f>E19</f>
        <v>0</v>
      </c>
      <c r="M15" s="14">
        <f>F17+F18+F19</f>
        <v>143463.69</v>
      </c>
      <c r="N15" s="14">
        <f>N14-M15</f>
        <v>0</v>
      </c>
    </row>
    <row r="16" spans="1:14" x14ac:dyDescent="0.25">
      <c r="A16" s="1">
        <v>5</v>
      </c>
      <c r="B16" s="11">
        <v>44032</v>
      </c>
      <c r="C16" s="12">
        <f t="shared" si="1"/>
        <v>50450.54</v>
      </c>
      <c r="D16" s="12">
        <v>5143.99</v>
      </c>
      <c r="E16" s="247">
        <f t="shared" si="2"/>
        <v>7887.9299999999985</v>
      </c>
      <c r="F16" s="12">
        <f t="shared" si="3"/>
        <v>45306.55</v>
      </c>
      <c r="G16" s="247">
        <f t="shared" si="0"/>
        <v>143463.69000000006</v>
      </c>
      <c r="I16" s="1" t="s">
        <v>88</v>
      </c>
      <c r="J16" s="14">
        <f>C20</f>
        <v>0</v>
      </c>
      <c r="K16" s="14">
        <f>D20</f>
        <v>0</v>
      </c>
      <c r="L16" s="14">
        <v>0</v>
      </c>
      <c r="M16" s="14">
        <f>F20</f>
        <v>0</v>
      </c>
      <c r="N16" s="14">
        <f>N15-M16</f>
        <v>0</v>
      </c>
    </row>
    <row r="17" spans="1:8" x14ac:dyDescent="0.25">
      <c r="A17" s="1">
        <v>6</v>
      </c>
      <c r="B17" s="11">
        <v>44216</v>
      </c>
      <c r="C17" s="12">
        <f t="shared" si="1"/>
        <v>50450.54</v>
      </c>
      <c r="D17" s="12">
        <v>3909.39</v>
      </c>
      <c r="E17" s="247">
        <f t="shared" si="2"/>
        <v>3978.5399999999986</v>
      </c>
      <c r="F17" s="12">
        <f t="shared" si="3"/>
        <v>46541.15</v>
      </c>
      <c r="G17" s="247">
        <f t="shared" si="0"/>
        <v>96922.540000000066</v>
      </c>
    </row>
    <row r="18" spans="1:8" x14ac:dyDescent="0.25">
      <c r="A18" s="1">
        <v>7</v>
      </c>
      <c r="B18" s="11">
        <v>44397</v>
      </c>
      <c r="C18" s="12">
        <f t="shared" si="1"/>
        <v>50450.54</v>
      </c>
      <c r="D18" s="12">
        <v>2641.14</v>
      </c>
      <c r="E18" s="247">
        <f t="shared" si="2"/>
        <v>1337.3999999999987</v>
      </c>
      <c r="F18" s="12">
        <f t="shared" si="3"/>
        <v>47809.4</v>
      </c>
      <c r="G18" s="247">
        <f t="shared" si="0"/>
        <v>49113.140000000065</v>
      </c>
    </row>
    <row r="19" spans="1:8" x14ac:dyDescent="0.25">
      <c r="A19" s="15" t="s">
        <v>212</v>
      </c>
      <c r="B19" s="11">
        <v>44399</v>
      </c>
      <c r="C19" s="12">
        <v>49337.2</v>
      </c>
      <c r="D19" s="12">
        <v>224.06</v>
      </c>
      <c r="E19" s="247">
        <v>0</v>
      </c>
      <c r="F19" s="12">
        <v>49113.14</v>
      </c>
      <c r="G19" s="247">
        <f>G18-F19</f>
        <v>6.5483618527650833E-11</v>
      </c>
      <c r="H19" t="s">
        <v>218</v>
      </c>
    </row>
    <row r="20" spans="1:8" x14ac:dyDescent="0.25">
      <c r="A20" s="1">
        <v>8</v>
      </c>
      <c r="B20" s="11">
        <v>44581</v>
      </c>
      <c r="C20" s="12"/>
      <c r="D20" s="12"/>
      <c r="E20" s="247"/>
      <c r="F20" s="12"/>
      <c r="G20" s="247"/>
    </row>
    <row r="21" spans="1:8" x14ac:dyDescent="0.25">
      <c r="A21" s="1"/>
      <c r="B21" s="13"/>
      <c r="C21" s="12"/>
      <c r="D21" s="12"/>
      <c r="E21" s="12"/>
      <c r="F21" s="12"/>
      <c r="G21" s="12"/>
    </row>
    <row r="22" spans="1:8" x14ac:dyDescent="0.25">
      <c r="A22" s="1" t="s">
        <v>18</v>
      </c>
      <c r="C22" s="14">
        <f t="shared" ref="C22:F22" si="4">SUM(C12:C20)</f>
        <v>402490.98</v>
      </c>
      <c r="D22" s="14">
        <f t="shared" si="4"/>
        <v>34434.979999999996</v>
      </c>
      <c r="E22" s="14"/>
      <c r="F22" s="14">
        <f t="shared" si="4"/>
        <v>368056.00000000006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honeticPr fontId="2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3396-DB52-49E7-B2E0-78A0E26721FA}">
  <dimension ref="A1:N33"/>
  <sheetViews>
    <sheetView workbookViewId="0">
      <selection activeCell="C8" sqref="C8"/>
    </sheetView>
  </sheetViews>
  <sheetFormatPr defaultRowHeight="15" x14ac:dyDescent="0.25"/>
  <cols>
    <col min="1" max="1" width="6.28515625" bestFit="1" customWidth="1"/>
    <col min="2" max="2" width="13.140625" bestFit="1" customWidth="1"/>
    <col min="3" max="4" width="13.28515625" bestFit="1" customWidth="1"/>
    <col min="5" max="5" width="15.28515625" bestFit="1" customWidth="1"/>
    <col min="6" max="6" width="2.7109375" style="12" customWidth="1"/>
    <col min="7" max="7" width="15.5703125" bestFit="1" customWidth="1"/>
    <col min="8" max="8" width="1.85546875" customWidth="1"/>
    <col min="9" max="9" width="15.5703125" bestFit="1" customWidth="1"/>
    <col min="10" max="10" width="2.7109375" customWidth="1"/>
    <col min="11" max="11" width="15.5703125" bestFit="1" customWidth="1"/>
    <col min="12" max="12" width="9.42578125" bestFit="1" customWidth="1"/>
    <col min="14" max="14" width="26.5703125" bestFit="1" customWidth="1"/>
  </cols>
  <sheetData>
    <row r="1" spans="1:14" x14ac:dyDescent="0.25">
      <c r="A1" s="2" t="s">
        <v>147</v>
      </c>
      <c r="B1" s="2"/>
      <c r="C1" s="2"/>
      <c r="D1" s="2"/>
      <c r="E1" s="2"/>
      <c r="F1" s="2"/>
    </row>
    <row r="2" spans="1:14" x14ac:dyDescent="0.25">
      <c r="A2" s="2" t="s">
        <v>148</v>
      </c>
      <c r="B2" s="2"/>
      <c r="C2" s="2"/>
      <c r="D2" s="2"/>
      <c r="E2" s="2"/>
      <c r="F2" s="2"/>
      <c r="G2" t="s">
        <v>173</v>
      </c>
    </row>
    <row r="3" spans="1:14" x14ac:dyDescent="0.25">
      <c r="A3" s="15"/>
      <c r="B3" s="15"/>
      <c r="C3" s="15"/>
      <c r="D3" s="15"/>
      <c r="E3" s="15"/>
      <c r="F3" s="130"/>
    </row>
    <row r="5" spans="1:14" s="1" customFormat="1" x14ac:dyDescent="0.25">
      <c r="A5" s="131" t="s">
        <v>149</v>
      </c>
      <c r="B5" s="131" t="s">
        <v>150</v>
      </c>
      <c r="C5" s="131" t="s">
        <v>151</v>
      </c>
      <c r="D5" s="131" t="s">
        <v>53</v>
      </c>
      <c r="E5" s="131" t="s">
        <v>54</v>
      </c>
      <c r="N5" s="132" t="s">
        <v>152</v>
      </c>
    </row>
    <row r="6" spans="1:14" s="1" customFormat="1" ht="31.5" x14ac:dyDescent="0.25">
      <c r="A6" s="133" t="s">
        <v>153</v>
      </c>
      <c r="B6" s="133" t="s">
        <v>154</v>
      </c>
      <c r="C6" s="133" t="s">
        <v>52</v>
      </c>
      <c r="D6" s="133" t="s">
        <v>155</v>
      </c>
      <c r="E6" s="133" t="s">
        <v>155</v>
      </c>
      <c r="G6" s="140" t="s">
        <v>97</v>
      </c>
      <c r="H6" s="161"/>
      <c r="I6" s="140" t="s">
        <v>118</v>
      </c>
      <c r="J6" s="161"/>
      <c r="K6" s="141" t="s">
        <v>169</v>
      </c>
      <c r="L6" s="141" t="s">
        <v>170</v>
      </c>
      <c r="N6" s="134" t="s">
        <v>156</v>
      </c>
    </row>
    <row r="7" spans="1:14" x14ac:dyDescent="0.25">
      <c r="A7" s="8"/>
      <c r="B7" s="8"/>
      <c r="C7" s="9"/>
      <c r="D7" s="9"/>
      <c r="E7" s="9"/>
      <c r="G7" s="162">
        <v>6100000</v>
      </c>
      <c r="H7" s="162"/>
      <c r="I7" s="163">
        <f>SUM(D8:D27)</f>
        <v>3054874</v>
      </c>
      <c r="J7" s="162"/>
      <c r="K7" s="164">
        <f>G7+I7</f>
        <v>9154874</v>
      </c>
      <c r="L7" s="54">
        <v>43373</v>
      </c>
      <c r="N7" s="10"/>
    </row>
    <row r="8" spans="1:14" x14ac:dyDescent="0.25">
      <c r="A8" s="1">
        <v>1</v>
      </c>
      <c r="B8" s="11">
        <v>43649</v>
      </c>
      <c r="C8" s="135">
        <v>457743.7</v>
      </c>
      <c r="D8" s="135">
        <v>261400.25</v>
      </c>
      <c r="E8" s="135">
        <f>C8-D8</f>
        <v>196343.45</v>
      </c>
      <c r="G8" s="60">
        <f>G7-E8</f>
        <v>5903656.5499999998</v>
      </c>
      <c r="H8" s="60"/>
      <c r="I8" s="165">
        <f>I7-D8</f>
        <v>2793473.75</v>
      </c>
      <c r="J8" s="60"/>
      <c r="K8" s="80">
        <f t="shared" ref="K8:K27" si="0">G8+I8</f>
        <v>8697130.3000000007</v>
      </c>
      <c r="L8" s="54">
        <v>43738</v>
      </c>
      <c r="N8" s="135" t="s">
        <v>157</v>
      </c>
    </row>
    <row r="9" spans="1:14" x14ac:dyDescent="0.25">
      <c r="A9" s="1">
        <v>2</v>
      </c>
      <c r="B9" s="11">
        <v>44015</v>
      </c>
      <c r="C9" s="135">
        <f>C8</f>
        <v>457743.7</v>
      </c>
      <c r="D9" s="135">
        <v>248839.13</v>
      </c>
      <c r="E9" s="135">
        <f>C9-D9</f>
        <v>208904.57</v>
      </c>
      <c r="G9" s="60">
        <f t="shared" ref="G9:G27" si="1">G8-E9</f>
        <v>5694751.9799999995</v>
      </c>
      <c r="H9" s="60"/>
      <c r="I9" s="165">
        <f t="shared" ref="I9:I27" si="2">I8-D9</f>
        <v>2544634.62</v>
      </c>
      <c r="J9" s="60"/>
      <c r="K9" s="80">
        <f t="shared" si="0"/>
        <v>8239386.5999999996</v>
      </c>
      <c r="L9" s="54">
        <v>44104</v>
      </c>
      <c r="N9" s="135" t="s">
        <v>157</v>
      </c>
    </row>
    <row r="10" spans="1:14" x14ac:dyDescent="0.25">
      <c r="A10" s="1">
        <v>3</v>
      </c>
      <c r="B10" s="11">
        <v>44380</v>
      </c>
      <c r="C10" s="135">
        <f t="shared" ref="C10:C27" si="3">C9</f>
        <v>457743.7</v>
      </c>
      <c r="D10" s="135">
        <v>240033.8</v>
      </c>
      <c r="E10" s="135">
        <f t="shared" ref="E10:E27" si="4">C10-D10</f>
        <v>217709.90000000002</v>
      </c>
      <c r="G10" s="60">
        <f t="shared" si="1"/>
        <v>5477042.0799999991</v>
      </c>
      <c r="H10" s="60"/>
      <c r="I10" s="165">
        <f t="shared" si="2"/>
        <v>2304600.8200000003</v>
      </c>
      <c r="J10" s="60"/>
      <c r="K10" s="80">
        <f t="shared" si="0"/>
        <v>7781642.8999999994</v>
      </c>
      <c r="L10" s="54">
        <v>44469</v>
      </c>
      <c r="N10" s="135" t="s">
        <v>157</v>
      </c>
    </row>
    <row r="11" spans="1:14" x14ac:dyDescent="0.25">
      <c r="A11" s="1">
        <v>4</v>
      </c>
      <c r="B11" s="11">
        <v>44745</v>
      </c>
      <c r="C11" s="135">
        <f t="shared" si="3"/>
        <v>457743.7</v>
      </c>
      <c r="D11" s="135">
        <v>230857.33</v>
      </c>
      <c r="E11" s="135">
        <f t="shared" si="4"/>
        <v>226886.37000000002</v>
      </c>
      <c r="G11" s="60">
        <f t="shared" si="1"/>
        <v>5250155.709999999</v>
      </c>
      <c r="H11" s="60"/>
      <c r="I11" s="165">
        <f t="shared" si="2"/>
        <v>2073743.4900000002</v>
      </c>
      <c r="J11" s="60"/>
      <c r="K11" s="80">
        <f t="shared" si="0"/>
        <v>7323899.1999999993</v>
      </c>
      <c r="L11" s="54">
        <v>44834</v>
      </c>
      <c r="N11" s="135" t="s">
        <v>157</v>
      </c>
    </row>
    <row r="12" spans="1:14" x14ac:dyDescent="0.25">
      <c r="A12" s="1">
        <v>5</v>
      </c>
      <c r="B12" s="11">
        <v>45110</v>
      </c>
      <c r="C12" s="135">
        <f t="shared" si="3"/>
        <v>457743.7</v>
      </c>
      <c r="D12" s="135">
        <v>221294.07</v>
      </c>
      <c r="E12" s="135">
        <f t="shared" si="4"/>
        <v>236449.63</v>
      </c>
      <c r="G12" s="60">
        <f t="shared" si="1"/>
        <v>5013706.0799999991</v>
      </c>
      <c r="H12" s="60"/>
      <c r="I12" s="165">
        <f t="shared" si="2"/>
        <v>1852449.4200000002</v>
      </c>
      <c r="J12" s="60"/>
      <c r="K12" s="80">
        <f t="shared" si="0"/>
        <v>6866155.4999999991</v>
      </c>
      <c r="N12" s="135" t="s">
        <v>157</v>
      </c>
    </row>
    <row r="13" spans="1:14" x14ac:dyDescent="0.25">
      <c r="A13" s="1">
        <v>6</v>
      </c>
      <c r="B13" s="11">
        <v>45476</v>
      </c>
      <c r="C13" s="135">
        <f t="shared" si="3"/>
        <v>457743.7</v>
      </c>
      <c r="D13" s="135">
        <v>211327.71</v>
      </c>
      <c r="E13" s="135">
        <f t="shared" si="4"/>
        <v>246415.99000000002</v>
      </c>
      <c r="G13" s="60">
        <f t="shared" si="1"/>
        <v>4767290.0899999989</v>
      </c>
      <c r="H13" s="60"/>
      <c r="I13" s="165">
        <f t="shared" si="2"/>
        <v>1641121.7100000002</v>
      </c>
      <c r="J13" s="60"/>
      <c r="K13" s="80">
        <f t="shared" si="0"/>
        <v>6408411.7999999989</v>
      </c>
      <c r="N13" s="135" t="s">
        <v>157</v>
      </c>
    </row>
    <row r="14" spans="1:14" x14ac:dyDescent="0.25">
      <c r="A14" s="1">
        <v>7</v>
      </c>
      <c r="B14" s="11">
        <v>45841</v>
      </c>
      <c r="C14" s="135">
        <f t="shared" si="3"/>
        <v>457743.7</v>
      </c>
      <c r="D14" s="135">
        <v>200941.28</v>
      </c>
      <c r="E14" s="135">
        <f t="shared" si="4"/>
        <v>256802.42</v>
      </c>
      <c r="G14" s="60">
        <f t="shared" si="1"/>
        <v>4510487.669999999</v>
      </c>
      <c r="H14" s="60"/>
      <c r="I14" s="165">
        <f t="shared" si="2"/>
        <v>1440180.4300000002</v>
      </c>
      <c r="J14" s="60"/>
      <c r="K14" s="80">
        <f t="shared" si="0"/>
        <v>5950668.0999999996</v>
      </c>
      <c r="N14" s="135" t="s">
        <v>157</v>
      </c>
    </row>
    <row r="15" spans="1:14" x14ac:dyDescent="0.25">
      <c r="A15" s="1">
        <v>8</v>
      </c>
      <c r="B15" s="11">
        <v>46206</v>
      </c>
      <c r="C15" s="135">
        <f t="shared" si="3"/>
        <v>457743.7</v>
      </c>
      <c r="D15" s="135">
        <v>190117.06</v>
      </c>
      <c r="E15" s="135">
        <f t="shared" si="4"/>
        <v>267626.64</v>
      </c>
      <c r="G15" s="60">
        <f t="shared" si="1"/>
        <v>4242861.0299999993</v>
      </c>
      <c r="H15" s="60"/>
      <c r="I15" s="165">
        <f t="shared" si="2"/>
        <v>1250063.3700000001</v>
      </c>
      <c r="J15" s="60"/>
      <c r="K15" s="80">
        <f t="shared" si="0"/>
        <v>5492924.3999999994</v>
      </c>
      <c r="N15" s="135" t="s">
        <v>157</v>
      </c>
    </row>
    <row r="16" spans="1:14" x14ac:dyDescent="0.25">
      <c r="A16" s="1">
        <v>9</v>
      </c>
      <c r="B16" s="11">
        <v>46571</v>
      </c>
      <c r="C16" s="135">
        <f t="shared" si="3"/>
        <v>457743.7</v>
      </c>
      <c r="D16" s="135">
        <v>178836.59</v>
      </c>
      <c r="E16" s="135">
        <f t="shared" si="4"/>
        <v>278907.11</v>
      </c>
      <c r="G16" s="60">
        <f t="shared" si="1"/>
        <v>3963953.9199999995</v>
      </c>
      <c r="H16" s="60"/>
      <c r="I16" s="165">
        <f t="shared" si="2"/>
        <v>1071226.78</v>
      </c>
      <c r="J16" s="60"/>
      <c r="K16" s="80">
        <f t="shared" si="0"/>
        <v>5035180.6999999993</v>
      </c>
      <c r="N16" s="135" t="s">
        <v>157</v>
      </c>
    </row>
    <row r="17" spans="1:14" x14ac:dyDescent="0.25">
      <c r="A17" s="1">
        <v>10</v>
      </c>
      <c r="B17" s="11">
        <v>46937</v>
      </c>
      <c r="C17" s="135">
        <f t="shared" si="3"/>
        <v>457743.7</v>
      </c>
      <c r="D17" s="135">
        <v>167080.66</v>
      </c>
      <c r="E17" s="135">
        <f t="shared" si="4"/>
        <v>290663.04000000004</v>
      </c>
      <c r="G17" s="60">
        <f t="shared" si="1"/>
        <v>3673290.8799999994</v>
      </c>
      <c r="H17" s="60"/>
      <c r="I17" s="165">
        <f t="shared" si="2"/>
        <v>904146.12</v>
      </c>
      <c r="J17" s="60"/>
      <c r="K17" s="80">
        <f t="shared" si="0"/>
        <v>4577436.9999999991</v>
      </c>
      <c r="N17" s="135">
        <v>3728390.23</v>
      </c>
    </row>
    <row r="18" spans="1:14" x14ac:dyDescent="0.25">
      <c r="A18" s="1">
        <v>11</v>
      </c>
      <c r="B18" s="11">
        <v>47302</v>
      </c>
      <c r="C18" s="135">
        <f t="shared" si="3"/>
        <v>457743.7</v>
      </c>
      <c r="D18" s="135">
        <v>154829.21</v>
      </c>
      <c r="E18" s="135">
        <f t="shared" si="4"/>
        <v>302914.49</v>
      </c>
      <c r="G18" s="60">
        <f t="shared" si="1"/>
        <v>3370376.3899999997</v>
      </c>
      <c r="H18" s="60"/>
      <c r="I18" s="165">
        <f t="shared" si="2"/>
        <v>749316.91</v>
      </c>
      <c r="J18" s="60"/>
      <c r="K18" s="80">
        <f t="shared" si="0"/>
        <v>4119693.3</v>
      </c>
      <c r="N18" s="135">
        <v>3420932.03</v>
      </c>
    </row>
    <row r="19" spans="1:14" x14ac:dyDescent="0.25">
      <c r="A19" s="1">
        <v>12</v>
      </c>
      <c r="B19" s="11">
        <v>47667</v>
      </c>
      <c r="C19" s="135">
        <f t="shared" si="3"/>
        <v>457743.7</v>
      </c>
      <c r="D19" s="135">
        <v>142061.37</v>
      </c>
      <c r="E19" s="135">
        <f t="shared" si="4"/>
        <v>315682.33</v>
      </c>
      <c r="G19" s="60">
        <f t="shared" si="1"/>
        <v>3054694.0599999996</v>
      </c>
      <c r="H19" s="60"/>
      <c r="I19" s="165">
        <f t="shared" si="2"/>
        <v>607255.54</v>
      </c>
      <c r="J19" s="60"/>
      <c r="K19" s="80">
        <f t="shared" si="0"/>
        <v>3661949.5999999996</v>
      </c>
      <c r="N19" s="135">
        <v>3100514.46</v>
      </c>
    </row>
    <row r="20" spans="1:14" x14ac:dyDescent="0.25">
      <c r="A20" s="1">
        <v>13</v>
      </c>
      <c r="B20" s="11">
        <v>48032</v>
      </c>
      <c r="C20" s="135">
        <f t="shared" si="3"/>
        <v>457743.7</v>
      </c>
      <c r="D20" s="135">
        <v>128755.35</v>
      </c>
      <c r="E20" s="135">
        <f t="shared" si="4"/>
        <v>328988.34999999998</v>
      </c>
      <c r="G20" s="60">
        <f t="shared" si="1"/>
        <v>2725705.7099999995</v>
      </c>
      <c r="H20" s="60"/>
      <c r="I20" s="165">
        <f t="shared" si="2"/>
        <v>478500.19000000006</v>
      </c>
      <c r="J20" s="60"/>
      <c r="K20" s="80">
        <f t="shared" si="0"/>
        <v>3204205.8999999994</v>
      </c>
      <c r="N20" s="135">
        <v>2766591.3</v>
      </c>
    </row>
    <row r="21" spans="1:14" x14ac:dyDescent="0.25">
      <c r="A21" s="1">
        <v>14</v>
      </c>
      <c r="B21" s="11">
        <v>48398</v>
      </c>
      <c r="C21" s="135">
        <f t="shared" si="3"/>
        <v>457743.7</v>
      </c>
      <c r="D21" s="135">
        <v>114888.5</v>
      </c>
      <c r="E21" s="135">
        <f t="shared" si="4"/>
        <v>342855.2</v>
      </c>
      <c r="G21" s="60">
        <f t="shared" si="1"/>
        <v>2382850.5099999993</v>
      </c>
      <c r="H21" s="60"/>
      <c r="I21" s="165">
        <f t="shared" si="2"/>
        <v>363611.69000000006</v>
      </c>
      <c r="J21" s="60"/>
      <c r="K21" s="80">
        <f t="shared" si="0"/>
        <v>2746462.1999999993</v>
      </c>
      <c r="N21" s="135">
        <v>2418593.2599999998</v>
      </c>
    </row>
    <row r="22" spans="1:14" x14ac:dyDescent="0.25">
      <c r="A22" s="1">
        <v>15</v>
      </c>
      <c r="B22" s="11">
        <v>48763</v>
      </c>
      <c r="C22" s="135">
        <f t="shared" si="3"/>
        <v>457743.7</v>
      </c>
      <c r="D22" s="135">
        <v>100437.15</v>
      </c>
      <c r="E22" s="135">
        <f t="shared" si="4"/>
        <v>357306.55000000005</v>
      </c>
      <c r="G22" s="60">
        <f t="shared" si="1"/>
        <v>2025543.9599999993</v>
      </c>
      <c r="H22" s="60"/>
      <c r="I22" s="165">
        <f t="shared" si="2"/>
        <v>263174.54000000004</v>
      </c>
      <c r="J22" s="60"/>
      <c r="K22" s="80">
        <f t="shared" si="0"/>
        <v>2288718.4999999991</v>
      </c>
      <c r="N22" s="135">
        <v>2055927.11</v>
      </c>
    </row>
    <row r="23" spans="1:14" x14ac:dyDescent="0.25">
      <c r="A23" s="1">
        <v>16</v>
      </c>
      <c r="B23" s="11">
        <v>49128</v>
      </c>
      <c r="C23" s="135">
        <f t="shared" si="3"/>
        <v>457743.7</v>
      </c>
      <c r="D23" s="135">
        <v>85376.68</v>
      </c>
      <c r="E23" s="135">
        <f t="shared" si="4"/>
        <v>372367.02</v>
      </c>
      <c r="G23" s="60">
        <f t="shared" si="1"/>
        <v>1653176.9399999992</v>
      </c>
      <c r="H23" s="60"/>
      <c r="I23" s="165">
        <f t="shared" si="2"/>
        <v>177797.86000000004</v>
      </c>
      <c r="J23" s="60"/>
      <c r="K23" s="80">
        <f t="shared" si="0"/>
        <v>1830974.7999999993</v>
      </c>
      <c r="N23" s="135">
        <v>1677974.58</v>
      </c>
    </row>
    <row r="24" spans="1:14" x14ac:dyDescent="0.25">
      <c r="A24" s="1">
        <v>17</v>
      </c>
      <c r="B24" s="11">
        <v>49493</v>
      </c>
      <c r="C24" s="135">
        <f t="shared" si="3"/>
        <v>457743.7</v>
      </c>
      <c r="D24" s="135">
        <v>69681.41</v>
      </c>
      <c r="E24" s="135">
        <f t="shared" si="4"/>
        <v>388062.29000000004</v>
      </c>
      <c r="G24" s="60">
        <f t="shared" si="1"/>
        <v>1265114.6499999992</v>
      </c>
      <c r="H24" s="60"/>
      <c r="I24" s="165">
        <f t="shared" si="2"/>
        <v>108116.45000000004</v>
      </c>
      <c r="J24" s="60"/>
      <c r="K24" s="80">
        <f t="shared" si="0"/>
        <v>1373231.0999999992</v>
      </c>
      <c r="N24" s="135">
        <v>1284091.3600000001</v>
      </c>
    </row>
    <row r="25" spans="1:14" x14ac:dyDescent="0.25">
      <c r="A25" s="1">
        <v>18</v>
      </c>
      <c r="B25" s="11">
        <v>49859</v>
      </c>
      <c r="C25" s="135">
        <f t="shared" si="3"/>
        <v>457743.7</v>
      </c>
      <c r="D25" s="135">
        <v>53324.58</v>
      </c>
      <c r="E25" s="135">
        <f>ROUND((C25-D25),2)</f>
        <v>404419.12</v>
      </c>
      <c r="G25" s="60">
        <f>ROUND((G24-E25),2)</f>
        <v>860695.53</v>
      </c>
      <c r="H25" s="60"/>
      <c r="I25" s="165">
        <f t="shared" si="2"/>
        <v>54791.870000000039</v>
      </c>
      <c r="J25" s="60"/>
      <c r="K25" s="80">
        <f t="shared" si="0"/>
        <v>915487.4</v>
      </c>
      <c r="N25" s="135">
        <v>873605.96</v>
      </c>
    </row>
    <row r="26" spans="1:14" x14ac:dyDescent="0.25">
      <c r="A26" s="1">
        <v>19</v>
      </c>
      <c r="B26" s="11">
        <v>50224</v>
      </c>
      <c r="C26" s="135">
        <f t="shared" si="3"/>
        <v>457743.7</v>
      </c>
      <c r="D26" s="135">
        <v>36278.32</v>
      </c>
      <c r="E26" s="135">
        <f t="shared" si="4"/>
        <v>421465.38</v>
      </c>
      <c r="G26" s="60">
        <f t="shared" si="1"/>
        <v>439230.15</v>
      </c>
      <c r="H26" s="60"/>
      <c r="I26" s="165">
        <f t="shared" si="2"/>
        <v>18513.550000000039</v>
      </c>
      <c r="J26" s="60"/>
      <c r="K26" s="80">
        <f t="shared" si="0"/>
        <v>457743.70000000007</v>
      </c>
      <c r="N26" s="135">
        <v>445818.6</v>
      </c>
    </row>
    <row r="27" spans="1:14" x14ac:dyDescent="0.25">
      <c r="A27" s="1">
        <v>20</v>
      </c>
      <c r="B27" s="11">
        <v>50589</v>
      </c>
      <c r="C27" s="135">
        <f t="shared" si="3"/>
        <v>457743.7</v>
      </c>
      <c r="D27" s="135">
        <v>18513.55</v>
      </c>
      <c r="E27" s="135">
        <f t="shared" si="4"/>
        <v>439230.15</v>
      </c>
      <c r="G27" s="60">
        <f t="shared" si="1"/>
        <v>0</v>
      </c>
      <c r="H27" s="60"/>
      <c r="I27" s="165">
        <f t="shared" si="2"/>
        <v>4.0017766878008842E-11</v>
      </c>
      <c r="J27" s="60"/>
      <c r="K27" s="80">
        <f t="shared" si="0"/>
        <v>4.0017766878008842E-11</v>
      </c>
      <c r="N27" s="135">
        <v>0</v>
      </c>
    </row>
    <row r="28" spans="1:14" x14ac:dyDescent="0.25">
      <c r="A28" s="1"/>
      <c r="B28" s="11"/>
      <c r="C28" s="135"/>
      <c r="D28" s="135"/>
      <c r="E28" s="135"/>
      <c r="F28" s="135"/>
      <c r="G28" s="60"/>
      <c r="H28" s="60"/>
      <c r="I28" s="60"/>
      <c r="J28" s="60"/>
    </row>
    <row r="29" spans="1:14" x14ac:dyDescent="0.25">
      <c r="A29" s="136" t="s">
        <v>130</v>
      </c>
      <c r="B29" s="136"/>
      <c r="C29" s="53">
        <f>SUM(C8:C27)</f>
        <v>9154874.0000000019</v>
      </c>
      <c r="D29" s="53">
        <f>SUM(D8:D27)</f>
        <v>3054874</v>
      </c>
      <c r="E29" s="53">
        <f>SUM(E8:E27)</f>
        <v>6100000.0000000009</v>
      </c>
      <c r="F29" s="135"/>
      <c r="G29" s="166"/>
      <c r="H29" s="166"/>
      <c r="I29" s="166"/>
      <c r="J29" s="166"/>
    </row>
    <row r="32" spans="1:14" x14ac:dyDescent="0.25">
      <c r="A32" s="136" t="s">
        <v>158</v>
      </c>
      <c r="B32" s="136"/>
      <c r="C32" s="136"/>
      <c r="D32" s="136"/>
      <c r="E32" s="136"/>
      <c r="F32" s="136"/>
    </row>
    <row r="33" spans="5:5" x14ac:dyDescent="0.25">
      <c r="E33" s="14"/>
    </row>
  </sheetData>
  <mergeCells count="4">
    <mergeCell ref="A1:F1"/>
    <mergeCell ref="A2:F2"/>
    <mergeCell ref="A29:B29"/>
    <mergeCell ref="A32:F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B2C4-C223-490C-8CCE-91A73B49F4DB}">
  <dimension ref="A1:Q35"/>
  <sheetViews>
    <sheetView workbookViewId="0">
      <selection activeCell="H4" sqref="H4:J4"/>
    </sheetView>
  </sheetViews>
  <sheetFormatPr defaultRowHeight="15" x14ac:dyDescent="0.25"/>
  <cols>
    <col min="1" max="1" width="5.85546875" style="16" customWidth="1"/>
    <col min="2" max="2" width="4" style="16" customWidth="1"/>
    <col min="3" max="3" width="9" style="16" customWidth="1"/>
    <col min="4" max="4" width="5" style="16" customWidth="1"/>
    <col min="5" max="6" width="16" style="16" customWidth="1"/>
    <col min="7" max="7" width="13.85546875" style="16" customWidth="1"/>
    <col min="8" max="8" width="15.5703125" style="16" bestFit="1" customWidth="1"/>
    <col min="9" max="9" width="1.85546875" style="16" customWidth="1"/>
    <col min="10" max="10" width="15.5703125" style="16" bestFit="1" customWidth="1"/>
    <col min="11" max="11" width="2.7109375" style="16" customWidth="1"/>
    <col min="12" max="12" width="15.5703125" style="16" bestFit="1" customWidth="1"/>
    <col min="13" max="13" width="9.42578125" style="16" bestFit="1" customWidth="1"/>
    <col min="14" max="14" width="9.42578125" style="16" customWidth="1"/>
    <col min="15" max="15" width="20.28515625" style="16" bestFit="1" customWidth="1"/>
    <col min="16" max="16" width="9.140625" style="16"/>
    <col min="17" max="17" width="11.7109375" style="16" bestFit="1" customWidth="1"/>
    <col min="18" max="16384" width="9.140625" style="16"/>
  </cols>
  <sheetData>
    <row r="1" spans="1:17" ht="15.75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8"/>
      <c r="K1" s="168"/>
      <c r="L1" s="168"/>
    </row>
    <row r="2" spans="1:17" ht="126" customHeight="1" x14ac:dyDescent="0.25">
      <c r="A2" s="169" t="s">
        <v>174</v>
      </c>
      <c r="B2" s="137"/>
      <c r="C2" s="137"/>
      <c r="D2" s="137"/>
      <c r="E2" s="137"/>
      <c r="F2" s="137"/>
      <c r="G2" s="137"/>
      <c r="H2" s="137"/>
      <c r="I2" s="137"/>
      <c r="J2" s="143"/>
      <c r="K2" s="143"/>
      <c r="L2" s="143"/>
    </row>
    <row r="3" spans="1:17" ht="38.25" x14ac:dyDescent="0.25">
      <c r="A3" s="170" t="s">
        <v>175</v>
      </c>
      <c r="B3" s="171" t="s">
        <v>176</v>
      </c>
      <c r="C3" s="171"/>
      <c r="D3" s="171"/>
      <c r="E3" s="172" t="s">
        <v>177</v>
      </c>
      <c r="F3" s="172" t="s">
        <v>178</v>
      </c>
      <c r="G3" s="170" t="s">
        <v>179</v>
      </c>
      <c r="H3" s="140" t="s">
        <v>97</v>
      </c>
      <c r="I3" s="161"/>
      <c r="J3" s="140" t="s">
        <v>118</v>
      </c>
      <c r="K3" s="161"/>
      <c r="L3" s="141" t="s">
        <v>169</v>
      </c>
      <c r="M3" s="141" t="s">
        <v>170</v>
      </c>
      <c r="N3" s="141"/>
      <c r="O3" s="173" t="s">
        <v>180</v>
      </c>
    </row>
    <row r="4" spans="1:17" ht="15.75" x14ac:dyDescent="0.25">
      <c r="A4" s="280"/>
      <c r="B4" s="175">
        <v>43709</v>
      </c>
      <c r="C4" s="175"/>
      <c r="D4" s="281"/>
      <c r="E4" s="281"/>
      <c r="F4" s="281"/>
      <c r="G4" s="280"/>
      <c r="H4" s="283">
        <f>G26</f>
        <v>1750000</v>
      </c>
      <c r="I4" s="284"/>
      <c r="J4" s="283">
        <f>F26</f>
        <v>746950.54999999993</v>
      </c>
      <c r="K4" s="161"/>
      <c r="L4" s="141"/>
      <c r="M4" s="141"/>
      <c r="N4" s="141"/>
      <c r="O4" s="282"/>
    </row>
    <row r="5" spans="1:17" x14ac:dyDescent="0.25">
      <c r="A5" s="174">
        <v>1</v>
      </c>
      <c r="B5" s="175">
        <v>44075</v>
      </c>
      <c r="C5" s="175"/>
      <c r="D5" s="278"/>
      <c r="E5" s="278">
        <v>124847.53</v>
      </c>
      <c r="F5" s="177">
        <v>65364.25</v>
      </c>
      <c r="G5" s="178">
        <v>59483.28</v>
      </c>
      <c r="H5" s="179">
        <f>H4-G5</f>
        <v>1690516.72</v>
      </c>
      <c r="J5" s="180">
        <f>J4-F5</f>
        <v>681586.29999999993</v>
      </c>
      <c r="L5" s="180">
        <f>J5+H5</f>
        <v>2372103.02</v>
      </c>
      <c r="M5" s="19">
        <v>44104</v>
      </c>
      <c r="N5" s="19"/>
      <c r="O5" s="181" t="s">
        <v>181</v>
      </c>
      <c r="Q5" s="182"/>
    </row>
    <row r="6" spans="1:17" x14ac:dyDescent="0.25">
      <c r="A6" s="174">
        <v>2</v>
      </c>
      <c r="B6" s="175">
        <v>44440</v>
      </c>
      <c r="C6" s="175"/>
      <c r="D6" s="278"/>
      <c r="E6" s="278">
        <v>124847.53</v>
      </c>
      <c r="F6" s="177">
        <v>61602.43</v>
      </c>
      <c r="G6" s="178">
        <v>63245.1</v>
      </c>
      <c r="H6" s="180">
        <f t="shared" ref="H6:H24" si="0">H5-G6</f>
        <v>1627271.6199999999</v>
      </c>
      <c r="J6" s="180">
        <f>J5-F6</f>
        <v>619983.86999999988</v>
      </c>
      <c r="L6" s="180">
        <f t="shared" ref="L6:L24" si="1">J6+H6</f>
        <v>2247255.4899999998</v>
      </c>
      <c r="M6" s="19">
        <v>44469</v>
      </c>
      <c r="N6" s="19"/>
      <c r="O6" s="181" t="s">
        <v>181</v>
      </c>
    </row>
    <row r="7" spans="1:17" x14ac:dyDescent="0.25">
      <c r="A7" s="174">
        <v>3</v>
      </c>
      <c r="B7" s="175">
        <v>44805</v>
      </c>
      <c r="C7" s="175"/>
      <c r="D7" s="278"/>
      <c r="E7" s="278">
        <v>124847.53</v>
      </c>
      <c r="F7" s="177">
        <v>59297.78</v>
      </c>
      <c r="G7" s="178">
        <v>65549.75</v>
      </c>
      <c r="H7" s="180">
        <f>H6-G7</f>
        <v>1561721.8699999999</v>
      </c>
      <c r="J7" s="180">
        <f t="shared" ref="J7:J24" si="2">J6-F7</f>
        <v>560686.08999999985</v>
      </c>
      <c r="L7" s="180">
        <f t="shared" si="1"/>
        <v>2122407.96</v>
      </c>
      <c r="M7" s="19">
        <v>44834</v>
      </c>
      <c r="N7" s="19"/>
      <c r="O7" s="181" t="s">
        <v>181</v>
      </c>
      <c r="Q7" s="183"/>
    </row>
    <row r="8" spans="1:17" x14ac:dyDescent="0.25">
      <c r="A8" s="174">
        <v>4</v>
      </c>
      <c r="B8" s="175">
        <v>45170</v>
      </c>
      <c r="C8" s="175"/>
      <c r="D8" s="278"/>
      <c r="E8" s="278">
        <v>124847.53</v>
      </c>
      <c r="F8" s="177">
        <v>56909.14</v>
      </c>
      <c r="G8" s="178">
        <v>67938.39</v>
      </c>
      <c r="H8" s="180">
        <f t="shared" si="0"/>
        <v>1493783.48</v>
      </c>
      <c r="J8" s="180">
        <f t="shared" si="2"/>
        <v>503776.94999999984</v>
      </c>
      <c r="L8" s="180">
        <f t="shared" si="1"/>
        <v>1997560.4299999997</v>
      </c>
      <c r="M8" s="19">
        <v>45199</v>
      </c>
      <c r="N8" s="19"/>
      <c r="O8" s="181" t="s">
        <v>181</v>
      </c>
    </row>
    <row r="9" spans="1:17" x14ac:dyDescent="0.25">
      <c r="A9" s="174">
        <v>5</v>
      </c>
      <c r="B9" s="175">
        <v>45536</v>
      </c>
      <c r="C9" s="175"/>
      <c r="D9" s="278"/>
      <c r="E9" s="278">
        <v>124847.53</v>
      </c>
      <c r="F9" s="177">
        <v>54433.47</v>
      </c>
      <c r="G9" s="178">
        <v>70414.06</v>
      </c>
      <c r="H9" s="180">
        <f t="shared" si="0"/>
        <v>1423369.42</v>
      </c>
      <c r="J9" s="180">
        <f t="shared" si="2"/>
        <v>449343.47999999986</v>
      </c>
      <c r="L9" s="180">
        <f t="shared" si="1"/>
        <v>1872712.9</v>
      </c>
      <c r="O9" s="181" t="s">
        <v>181</v>
      </c>
    </row>
    <row r="10" spans="1:17" x14ac:dyDescent="0.25">
      <c r="A10" s="174">
        <v>6</v>
      </c>
      <c r="B10" s="175">
        <v>45901</v>
      </c>
      <c r="C10" s="175"/>
      <c r="D10" s="278"/>
      <c r="E10" s="278">
        <v>124847.53</v>
      </c>
      <c r="F10" s="177">
        <v>51867.58</v>
      </c>
      <c r="G10" s="178">
        <v>72979.95</v>
      </c>
      <c r="H10" s="180">
        <f t="shared" si="0"/>
        <v>1350389.47</v>
      </c>
      <c r="J10" s="180">
        <f t="shared" si="2"/>
        <v>397475.89999999985</v>
      </c>
      <c r="L10" s="180">
        <f t="shared" si="1"/>
        <v>1747865.3699999999</v>
      </c>
      <c r="O10" s="184">
        <v>1390901.15</v>
      </c>
    </row>
    <row r="11" spans="1:17" x14ac:dyDescent="0.25">
      <c r="A11" s="174">
        <v>7</v>
      </c>
      <c r="B11" s="175">
        <v>46266</v>
      </c>
      <c r="C11" s="175"/>
      <c r="D11" s="278"/>
      <c r="E11" s="278">
        <v>124847.53</v>
      </c>
      <c r="F11" s="177">
        <v>49208.19</v>
      </c>
      <c r="G11" s="178">
        <v>75639.34</v>
      </c>
      <c r="H11" s="180">
        <f t="shared" si="0"/>
        <v>1274750.1299999999</v>
      </c>
      <c r="J11" s="180">
        <f t="shared" si="2"/>
        <v>348267.70999999985</v>
      </c>
      <c r="L11" s="180">
        <f t="shared" si="1"/>
        <v>1623017.8399999999</v>
      </c>
      <c r="O11" s="184">
        <v>1312992.6299999999</v>
      </c>
    </row>
    <row r="12" spans="1:17" x14ac:dyDescent="0.25">
      <c r="A12" s="174">
        <v>8</v>
      </c>
      <c r="B12" s="175">
        <v>46631</v>
      </c>
      <c r="C12" s="175"/>
      <c r="D12" s="278"/>
      <c r="E12" s="278">
        <v>124847.53</v>
      </c>
      <c r="F12" s="177">
        <v>46451.89</v>
      </c>
      <c r="G12" s="178">
        <v>78395.64</v>
      </c>
      <c r="H12" s="180">
        <f t="shared" si="0"/>
        <v>1196354.49</v>
      </c>
      <c r="J12" s="180">
        <f t="shared" si="2"/>
        <v>301815.81999999983</v>
      </c>
      <c r="L12" s="180">
        <f t="shared" si="1"/>
        <v>1498170.3099999998</v>
      </c>
      <c r="O12" s="184">
        <v>1232245.1200000001</v>
      </c>
    </row>
    <row r="13" spans="1:17" x14ac:dyDescent="0.25">
      <c r="A13" s="174">
        <v>9</v>
      </c>
      <c r="B13" s="175">
        <v>46997</v>
      </c>
      <c r="C13" s="175"/>
      <c r="D13" s="278"/>
      <c r="E13" s="278">
        <v>124847.53</v>
      </c>
      <c r="F13" s="177">
        <v>43595.16</v>
      </c>
      <c r="G13" s="178">
        <v>81252.37</v>
      </c>
      <c r="H13" s="180">
        <f t="shared" si="0"/>
        <v>1115102.1200000001</v>
      </c>
      <c r="J13" s="180">
        <f t="shared" si="2"/>
        <v>258220.65999999983</v>
      </c>
      <c r="L13" s="180">
        <f t="shared" si="1"/>
        <v>1373322.78</v>
      </c>
      <c r="O13" s="184">
        <v>1137404.1599999999</v>
      </c>
    </row>
    <row r="14" spans="1:17" x14ac:dyDescent="0.25">
      <c r="A14" s="174">
        <v>10</v>
      </c>
      <c r="B14" s="175">
        <v>47362</v>
      </c>
      <c r="C14" s="175"/>
      <c r="D14" s="278"/>
      <c r="E14" s="278">
        <v>124847.53</v>
      </c>
      <c r="F14" s="177">
        <v>40634.32</v>
      </c>
      <c r="G14" s="178">
        <v>84213.21</v>
      </c>
      <c r="H14" s="180">
        <f t="shared" si="0"/>
        <v>1030888.9100000001</v>
      </c>
      <c r="J14" s="180">
        <f t="shared" si="2"/>
        <v>217586.33999999982</v>
      </c>
      <c r="L14" s="180">
        <f t="shared" si="1"/>
        <v>1248475.25</v>
      </c>
      <c r="O14" s="184">
        <v>1051506.69</v>
      </c>
    </row>
    <row r="15" spans="1:17" x14ac:dyDescent="0.25">
      <c r="A15" s="174">
        <v>11</v>
      </c>
      <c r="B15" s="175">
        <v>47727</v>
      </c>
      <c r="C15" s="175"/>
      <c r="D15" s="278"/>
      <c r="E15" s="278">
        <v>124847.53</v>
      </c>
      <c r="F15" s="177">
        <v>37565.589999999997</v>
      </c>
      <c r="G15" s="178">
        <v>87281.94</v>
      </c>
      <c r="H15" s="180">
        <f t="shared" si="0"/>
        <v>943606.9700000002</v>
      </c>
      <c r="J15" s="180">
        <f t="shared" si="2"/>
        <v>180020.74999999983</v>
      </c>
      <c r="L15" s="180">
        <f t="shared" si="1"/>
        <v>1123627.72</v>
      </c>
      <c r="O15" s="184">
        <v>943606.97</v>
      </c>
    </row>
    <row r="16" spans="1:17" x14ac:dyDescent="0.25">
      <c r="A16" s="174">
        <v>12</v>
      </c>
      <c r="B16" s="175">
        <v>48092</v>
      </c>
      <c r="C16" s="175"/>
      <c r="D16" s="278"/>
      <c r="E16" s="278">
        <v>124847.53</v>
      </c>
      <c r="F16" s="177">
        <v>34385.040000000001</v>
      </c>
      <c r="G16" s="178">
        <v>90462.49</v>
      </c>
      <c r="H16" s="180">
        <f t="shared" si="0"/>
        <v>853144.48000000021</v>
      </c>
      <c r="J16" s="180">
        <f t="shared" si="2"/>
        <v>145635.70999999982</v>
      </c>
      <c r="L16" s="180">
        <f t="shared" si="1"/>
        <v>998780.19000000006</v>
      </c>
      <c r="O16" s="184">
        <v>853144.48</v>
      </c>
    </row>
    <row r="17" spans="1:15" x14ac:dyDescent="0.25">
      <c r="A17" s="174">
        <v>13</v>
      </c>
      <c r="B17" s="175">
        <v>48458</v>
      </c>
      <c r="C17" s="175"/>
      <c r="D17" s="278"/>
      <c r="E17" s="278">
        <v>124847.53</v>
      </c>
      <c r="F17" s="177">
        <v>31088.58</v>
      </c>
      <c r="G17" s="178">
        <v>93758.95</v>
      </c>
      <c r="H17" s="180">
        <f t="shared" si="0"/>
        <v>759385.53000000026</v>
      </c>
      <c r="J17" s="180">
        <f t="shared" si="2"/>
        <v>114547.12999999982</v>
      </c>
      <c r="L17" s="180">
        <f t="shared" si="1"/>
        <v>873932.66</v>
      </c>
      <c r="O17" s="184">
        <v>759385.53</v>
      </c>
    </row>
    <row r="18" spans="1:15" x14ac:dyDescent="0.25">
      <c r="A18" s="174">
        <v>14</v>
      </c>
      <c r="B18" s="175">
        <v>48823</v>
      </c>
      <c r="C18" s="175"/>
      <c r="D18" s="278"/>
      <c r="E18" s="278">
        <v>124847.53</v>
      </c>
      <c r="F18" s="177">
        <v>27672.01</v>
      </c>
      <c r="G18" s="178">
        <v>97175.52</v>
      </c>
      <c r="H18" s="180">
        <f t="shared" si="0"/>
        <v>662210.01000000024</v>
      </c>
      <c r="J18" s="180">
        <f t="shared" si="2"/>
        <v>86875.119999999821</v>
      </c>
      <c r="L18" s="180">
        <f t="shared" si="1"/>
        <v>749085.13000000012</v>
      </c>
      <c r="O18" s="184">
        <v>662210.01</v>
      </c>
    </row>
    <row r="19" spans="1:15" x14ac:dyDescent="0.25">
      <c r="A19" s="174">
        <v>15</v>
      </c>
      <c r="B19" s="175">
        <v>49188</v>
      </c>
      <c r="C19" s="175"/>
      <c r="D19" s="278"/>
      <c r="E19" s="278">
        <v>124847.53</v>
      </c>
      <c r="F19" s="177">
        <v>24130.93</v>
      </c>
      <c r="G19" s="178">
        <v>100716.6</v>
      </c>
      <c r="H19" s="180">
        <f t="shared" si="0"/>
        <v>561493.41000000027</v>
      </c>
      <c r="J19" s="180">
        <f t="shared" si="2"/>
        <v>62744.18999999982</v>
      </c>
      <c r="L19" s="180">
        <f t="shared" si="1"/>
        <v>624237.60000000009</v>
      </c>
      <c r="O19" s="184">
        <v>561493.41</v>
      </c>
    </row>
    <row r="20" spans="1:15" x14ac:dyDescent="0.25">
      <c r="A20" s="174">
        <v>16</v>
      </c>
      <c r="B20" s="175">
        <v>49553</v>
      </c>
      <c r="C20" s="175"/>
      <c r="D20" s="278"/>
      <c r="E20" s="278">
        <v>124847.53</v>
      </c>
      <c r="F20" s="177">
        <v>20460.82</v>
      </c>
      <c r="G20" s="178">
        <v>104386.71</v>
      </c>
      <c r="H20" s="180">
        <f t="shared" si="0"/>
        <v>457106.70000000024</v>
      </c>
      <c r="J20" s="180">
        <f t="shared" si="2"/>
        <v>42283.369999999821</v>
      </c>
      <c r="L20" s="180">
        <f t="shared" si="1"/>
        <v>499390.07000000007</v>
      </c>
      <c r="O20" s="184">
        <v>457103.7</v>
      </c>
    </row>
    <row r="21" spans="1:15" x14ac:dyDescent="0.25">
      <c r="A21" s="174">
        <v>17</v>
      </c>
      <c r="B21" s="175">
        <v>49919</v>
      </c>
      <c r="C21" s="175"/>
      <c r="D21" s="278"/>
      <c r="E21" s="278">
        <v>124847.53</v>
      </c>
      <c r="F21" s="177">
        <v>16656.97</v>
      </c>
      <c r="G21" s="178">
        <v>108190.56</v>
      </c>
      <c r="H21" s="180">
        <f t="shared" si="0"/>
        <v>348916.14000000025</v>
      </c>
      <c r="J21" s="180">
        <f t="shared" si="2"/>
        <v>25626.39999999982</v>
      </c>
      <c r="L21" s="180">
        <f t="shared" si="1"/>
        <v>374542.54000000004</v>
      </c>
      <c r="O21" s="184">
        <v>348916.14</v>
      </c>
    </row>
    <row r="22" spans="1:15" x14ac:dyDescent="0.25">
      <c r="A22" s="174">
        <v>18</v>
      </c>
      <c r="B22" s="175">
        <v>50284</v>
      </c>
      <c r="C22" s="175"/>
      <c r="D22" s="278"/>
      <c r="E22" s="278">
        <v>124847.53</v>
      </c>
      <c r="F22" s="177">
        <v>12714.5</v>
      </c>
      <c r="G22" s="178">
        <v>112133.03</v>
      </c>
      <c r="H22" s="180">
        <f t="shared" si="0"/>
        <v>236783.11000000025</v>
      </c>
      <c r="J22" s="180">
        <f t="shared" si="2"/>
        <v>12911.89999999982</v>
      </c>
      <c r="L22" s="180">
        <f t="shared" si="1"/>
        <v>249695.01000000007</v>
      </c>
      <c r="O22" s="184">
        <v>236783.11</v>
      </c>
    </row>
    <row r="23" spans="1:15" x14ac:dyDescent="0.25">
      <c r="A23" s="174">
        <v>19</v>
      </c>
      <c r="B23" s="175">
        <v>50649</v>
      </c>
      <c r="C23" s="175"/>
      <c r="D23" s="278"/>
      <c r="E23" s="278">
        <v>124847.53</v>
      </c>
      <c r="F23" s="177">
        <v>8628.3799999999992</v>
      </c>
      <c r="G23" s="178">
        <v>116219.15</v>
      </c>
      <c r="H23" s="180">
        <f t="shared" si="0"/>
        <v>120563.96000000025</v>
      </c>
      <c r="J23" s="180">
        <f t="shared" si="2"/>
        <v>4283.5199999998204</v>
      </c>
      <c r="L23" s="180">
        <f t="shared" si="1"/>
        <v>124847.48000000007</v>
      </c>
      <c r="O23" s="184">
        <v>120563.96</v>
      </c>
    </row>
    <row r="24" spans="1:15" x14ac:dyDescent="0.25">
      <c r="A24" s="174">
        <v>20</v>
      </c>
      <c r="B24" s="175">
        <v>51004</v>
      </c>
      <c r="C24" s="175"/>
      <c r="D24" s="278"/>
      <c r="E24" s="278">
        <v>124847.48000000001</v>
      </c>
      <c r="F24" s="177">
        <v>4283.5200000000004</v>
      </c>
      <c r="G24" s="178">
        <v>120563.96</v>
      </c>
      <c r="H24" s="180">
        <f t="shared" si="0"/>
        <v>2.4738255888223648E-10</v>
      </c>
      <c r="J24" s="185">
        <f t="shared" si="2"/>
        <v>-1.8007995095103979E-10</v>
      </c>
      <c r="L24" s="180">
        <f t="shared" si="1"/>
        <v>6.730260793119669E-11</v>
      </c>
      <c r="O24" s="186">
        <v>0</v>
      </c>
    </row>
    <row r="25" spans="1:15" x14ac:dyDescent="0.25">
      <c r="A25" s="187"/>
      <c r="B25" s="51"/>
      <c r="C25" s="51"/>
      <c r="D25" s="51"/>
      <c r="E25" s="51"/>
      <c r="F25" s="187"/>
      <c r="G25" s="187"/>
      <c r="O25" s="187"/>
    </row>
    <row r="26" spans="1:15" x14ac:dyDescent="0.25">
      <c r="A26" s="187"/>
      <c r="B26" s="188" t="s">
        <v>130</v>
      </c>
      <c r="C26" s="188"/>
      <c r="E26" s="278">
        <f>SUM(E5:E25)</f>
        <v>2496950.5499999998</v>
      </c>
      <c r="F26" s="189">
        <f>SUM(F5:F24)</f>
        <v>746950.54999999993</v>
      </c>
      <c r="G26" s="189">
        <f>SUM(G5:G24)</f>
        <v>1750000</v>
      </c>
      <c r="O26" s="187"/>
    </row>
    <row r="27" spans="1:15" x14ac:dyDescent="0.25">
      <c r="A27" s="187"/>
      <c r="B27" s="51"/>
      <c r="C27" s="51"/>
      <c r="D27" s="51"/>
      <c r="E27" s="51"/>
      <c r="F27" s="187"/>
      <c r="G27" s="187"/>
      <c r="H27" s="187"/>
    </row>
    <row r="28" spans="1:15" x14ac:dyDescent="0.25">
      <c r="A28" s="190" t="s">
        <v>182</v>
      </c>
      <c r="B28" s="190"/>
      <c r="C28" s="190"/>
      <c r="D28" s="190"/>
      <c r="E28" s="190"/>
      <c r="F28" s="190"/>
      <c r="G28" s="190"/>
      <c r="H28" s="190"/>
      <c r="I28" s="190"/>
      <c r="J28" s="181"/>
      <c r="K28" s="181"/>
      <c r="L28" s="181"/>
    </row>
    <row r="32" spans="1:15" x14ac:dyDescent="0.25">
      <c r="F32" s="180">
        <f>+F26-747497.2</f>
        <v>-546.65000000002328</v>
      </c>
    </row>
    <row r="35" spans="6:6" x14ac:dyDescent="0.25">
      <c r="F35" s="180"/>
    </row>
  </sheetData>
  <mergeCells count="30">
    <mergeCell ref="A28:I28"/>
    <mergeCell ref="B4:C4"/>
    <mergeCell ref="B25:C25"/>
    <mergeCell ref="D25:E25"/>
    <mergeCell ref="B26:C26"/>
    <mergeCell ref="B27:C27"/>
    <mergeCell ref="D27:E27"/>
    <mergeCell ref="B22:C22"/>
    <mergeCell ref="B23:C23"/>
    <mergeCell ref="B24:C24"/>
    <mergeCell ref="B19:C19"/>
    <mergeCell ref="B20:C20"/>
    <mergeCell ref="B21:C21"/>
    <mergeCell ref="B16:C16"/>
    <mergeCell ref="B17:C17"/>
    <mergeCell ref="B18:C18"/>
    <mergeCell ref="B13:C13"/>
    <mergeCell ref="B14:C14"/>
    <mergeCell ref="B15:C15"/>
    <mergeCell ref="B10:C10"/>
    <mergeCell ref="B11:C11"/>
    <mergeCell ref="B12:C12"/>
    <mergeCell ref="B7:C7"/>
    <mergeCell ref="B8:C8"/>
    <mergeCell ref="B9:C9"/>
    <mergeCell ref="A1:I1"/>
    <mergeCell ref="A2:I2"/>
    <mergeCell ref="B3:D3"/>
    <mergeCell ref="B5:C5"/>
    <mergeCell ref="B6:C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7B3C-CAD9-43F0-89CF-2573628053CE}">
  <dimension ref="A1:M17"/>
  <sheetViews>
    <sheetView workbookViewId="0">
      <selection activeCell="B5" sqref="B5:C5"/>
    </sheetView>
  </sheetViews>
  <sheetFormatPr defaultRowHeight="15" x14ac:dyDescent="0.25"/>
  <cols>
    <col min="1" max="1" width="5.85546875" style="16" customWidth="1"/>
    <col min="2" max="2" width="4" style="16" customWidth="1"/>
    <col min="3" max="3" width="9" style="16" customWidth="1"/>
    <col min="4" max="4" width="5" style="16" customWidth="1"/>
    <col min="5" max="5" width="12.42578125" style="16" customWidth="1"/>
    <col min="6" max="6" width="14.7109375" style="16" customWidth="1"/>
    <col min="7" max="7" width="13.85546875" style="16" customWidth="1"/>
    <col min="8" max="8" width="14.7109375" style="16" customWidth="1"/>
    <col min="9" max="9" width="12.5703125" style="16" bestFit="1" customWidth="1"/>
    <col min="10" max="10" width="14.85546875" style="16" customWidth="1"/>
    <col min="11" max="11" width="11.28515625" style="16" customWidth="1"/>
    <col min="12" max="12" width="9.140625" style="16"/>
    <col min="13" max="13" width="18.7109375" style="16" customWidth="1"/>
    <col min="14" max="16384" width="9.140625" style="16"/>
  </cols>
  <sheetData>
    <row r="1" spans="1:13" ht="15.75" x14ac:dyDescent="0.25">
      <c r="A1" s="167"/>
      <c r="B1" s="167"/>
      <c r="C1" s="167"/>
      <c r="D1" s="167"/>
      <c r="E1" s="167"/>
      <c r="F1" s="167"/>
      <c r="G1" s="167"/>
      <c r="H1" s="167"/>
      <c r="I1" s="167"/>
    </row>
    <row r="2" spans="1:13" ht="122.25" customHeight="1" x14ac:dyDescent="0.25">
      <c r="A2" s="169" t="s">
        <v>183</v>
      </c>
      <c r="B2" s="137"/>
      <c r="C2" s="137"/>
      <c r="D2" s="137"/>
      <c r="E2" s="137"/>
      <c r="F2" s="137"/>
      <c r="G2" s="137"/>
      <c r="H2" s="137"/>
      <c r="I2" s="137"/>
    </row>
    <row r="3" spans="1:13" s="139" customFormat="1" ht="63.75" x14ac:dyDescent="0.25">
      <c r="A3" s="191" t="s">
        <v>184</v>
      </c>
      <c r="B3" s="192" t="s">
        <v>185</v>
      </c>
      <c r="C3" s="192"/>
      <c r="D3" s="192"/>
      <c r="E3" s="191" t="s">
        <v>186</v>
      </c>
      <c r="F3" s="191" t="s">
        <v>187</v>
      </c>
      <c r="G3" s="191" t="s">
        <v>188</v>
      </c>
      <c r="H3" s="140" t="s">
        <v>97</v>
      </c>
      <c r="I3" s="140" t="s">
        <v>118</v>
      </c>
      <c r="J3" s="141" t="s">
        <v>169</v>
      </c>
      <c r="K3" s="141" t="s">
        <v>170</v>
      </c>
      <c r="M3" s="193" t="s">
        <v>189</v>
      </c>
    </row>
    <row r="4" spans="1:13" x14ac:dyDescent="0.25">
      <c r="A4" s="174"/>
      <c r="B4" s="175">
        <v>43760</v>
      </c>
      <c r="C4" s="175"/>
      <c r="D4" s="176"/>
      <c r="E4" s="176"/>
      <c r="F4" s="177"/>
      <c r="G4" s="178"/>
      <c r="H4" s="194">
        <f>G14</f>
        <v>1342841.71</v>
      </c>
      <c r="I4" s="180">
        <f>SUM(F5:F12)</f>
        <v>168919.25000000003</v>
      </c>
      <c r="J4" s="180">
        <f>H4+I4</f>
        <v>1511760.96</v>
      </c>
      <c r="M4" s="181"/>
    </row>
    <row r="5" spans="1:13" x14ac:dyDescent="0.25">
      <c r="A5" s="174">
        <v>1</v>
      </c>
      <c r="B5" s="175">
        <v>44126</v>
      </c>
      <c r="C5" s="175"/>
      <c r="D5" s="278"/>
      <c r="E5" s="278">
        <v>188970.12</v>
      </c>
      <c r="F5" s="177">
        <v>35539.42</v>
      </c>
      <c r="G5" s="178">
        <v>153430.70000000001</v>
      </c>
      <c r="H5" s="194">
        <f>H4-G5</f>
        <v>1189411.01</v>
      </c>
      <c r="I5" s="180">
        <f>I4-F5</f>
        <v>133379.83000000002</v>
      </c>
      <c r="J5" s="180">
        <f t="shared" ref="J5:J12" si="0">H5+I5</f>
        <v>1322790.8400000001</v>
      </c>
      <c r="M5" s="181" t="s">
        <v>181</v>
      </c>
    </row>
    <row r="6" spans="1:13" x14ac:dyDescent="0.25">
      <c r="A6" s="174">
        <v>2</v>
      </c>
      <c r="B6" s="175">
        <v>44491</v>
      </c>
      <c r="C6" s="175"/>
      <c r="D6" s="278"/>
      <c r="E6" s="278">
        <v>188970.12</v>
      </c>
      <c r="F6" s="177">
        <v>32470.92</v>
      </c>
      <c r="G6" s="178">
        <v>156499.20000000001</v>
      </c>
      <c r="H6" s="180">
        <f t="shared" ref="H6:H12" si="1">H5-G6</f>
        <v>1032911.81</v>
      </c>
      <c r="I6" s="180">
        <f t="shared" ref="I6:I12" si="2">I5-F6</f>
        <v>100908.91000000002</v>
      </c>
      <c r="J6" s="180">
        <f t="shared" si="0"/>
        <v>1133820.72</v>
      </c>
      <c r="K6" s="195">
        <v>44834</v>
      </c>
      <c r="M6" s="181" t="s">
        <v>181</v>
      </c>
    </row>
    <row r="7" spans="1:13" x14ac:dyDescent="0.25">
      <c r="A7" s="174">
        <v>3</v>
      </c>
      <c r="B7" s="175">
        <v>44856</v>
      </c>
      <c r="C7" s="175"/>
      <c r="D7" s="278"/>
      <c r="E7" s="278">
        <v>188970.12</v>
      </c>
      <c r="F7" s="177">
        <v>28198.49</v>
      </c>
      <c r="G7" s="178">
        <v>160771.63</v>
      </c>
      <c r="H7" s="180">
        <f t="shared" si="1"/>
        <v>872140.18</v>
      </c>
      <c r="I7" s="180">
        <f t="shared" si="2"/>
        <v>72710.420000000013</v>
      </c>
      <c r="J7" s="180">
        <f t="shared" si="0"/>
        <v>944850.60000000009</v>
      </c>
      <c r="K7" s="195">
        <v>45199</v>
      </c>
      <c r="M7" s="184">
        <v>881217.85</v>
      </c>
    </row>
    <row r="8" spans="1:13" x14ac:dyDescent="0.25">
      <c r="A8" s="174">
        <v>4</v>
      </c>
      <c r="B8" s="175">
        <v>45221</v>
      </c>
      <c r="C8" s="175"/>
      <c r="D8" s="278"/>
      <c r="E8" s="278">
        <v>188970.12</v>
      </c>
      <c r="F8" s="177">
        <v>23809.43</v>
      </c>
      <c r="G8" s="178">
        <v>165160.69</v>
      </c>
      <c r="H8" s="180">
        <f t="shared" si="1"/>
        <v>706979.49</v>
      </c>
      <c r="I8" s="180">
        <f t="shared" si="2"/>
        <v>48900.990000000013</v>
      </c>
      <c r="J8" s="180">
        <f t="shared" si="0"/>
        <v>755880.48</v>
      </c>
      <c r="M8" s="184">
        <v>713132.59</v>
      </c>
    </row>
    <row r="9" spans="1:13" x14ac:dyDescent="0.25">
      <c r="A9" s="174">
        <v>5</v>
      </c>
      <c r="B9" s="175">
        <v>45587</v>
      </c>
      <c r="C9" s="175"/>
      <c r="D9" s="278"/>
      <c r="E9" s="278">
        <v>188970.12</v>
      </c>
      <c r="F9" s="177">
        <v>19300.54</v>
      </c>
      <c r="G9" s="178">
        <v>169669.58</v>
      </c>
      <c r="H9" s="180">
        <f t="shared" si="1"/>
        <v>537309.91</v>
      </c>
      <c r="I9" s="180">
        <f t="shared" si="2"/>
        <v>29600.450000000012</v>
      </c>
      <c r="J9" s="180">
        <f t="shared" si="0"/>
        <v>566910.3600000001</v>
      </c>
      <c r="M9" s="184">
        <v>541063.71</v>
      </c>
    </row>
    <row r="10" spans="1:13" x14ac:dyDescent="0.25">
      <c r="A10" s="174">
        <v>6</v>
      </c>
      <c r="B10" s="175">
        <v>45952</v>
      </c>
      <c r="C10" s="175"/>
      <c r="D10" s="278"/>
      <c r="E10" s="278">
        <v>188970.12</v>
      </c>
      <c r="F10" s="177">
        <v>14668.56</v>
      </c>
      <c r="G10" s="178">
        <v>174301.56</v>
      </c>
      <c r="H10" s="180">
        <f t="shared" si="1"/>
        <v>363008.35000000003</v>
      </c>
      <c r="I10" s="180">
        <f t="shared" si="2"/>
        <v>14931.890000000012</v>
      </c>
      <c r="J10" s="180">
        <f t="shared" si="0"/>
        <v>377940.24000000005</v>
      </c>
      <c r="M10" s="184">
        <v>364916.8</v>
      </c>
    </row>
    <row r="11" spans="1:13" x14ac:dyDescent="0.25">
      <c r="A11" s="174">
        <v>7</v>
      </c>
      <c r="B11" s="175">
        <v>46317</v>
      </c>
      <c r="C11" s="175"/>
      <c r="D11" s="278"/>
      <c r="E11" s="278">
        <v>188970.12</v>
      </c>
      <c r="F11" s="177">
        <v>9910.1299999999992</v>
      </c>
      <c r="G11" s="178">
        <v>179059.99</v>
      </c>
      <c r="H11" s="180">
        <f t="shared" si="1"/>
        <v>183948.36000000004</v>
      </c>
      <c r="I11" s="180">
        <f t="shared" si="2"/>
        <v>5021.760000000013</v>
      </c>
      <c r="J11" s="180">
        <f t="shared" si="0"/>
        <v>188970.12000000005</v>
      </c>
      <c r="M11" s="184">
        <v>184595.21</v>
      </c>
    </row>
    <row r="12" spans="1:13" x14ac:dyDescent="0.25">
      <c r="A12" s="174">
        <v>8</v>
      </c>
      <c r="B12" s="175">
        <v>46682</v>
      </c>
      <c r="C12" s="175"/>
      <c r="D12" s="278"/>
      <c r="E12" s="278">
        <v>188970.12</v>
      </c>
      <c r="F12" s="177">
        <v>5021.76</v>
      </c>
      <c r="G12" s="178">
        <v>183948.36</v>
      </c>
      <c r="H12" s="180">
        <f t="shared" si="1"/>
        <v>0</v>
      </c>
      <c r="I12" s="180">
        <f t="shared" si="2"/>
        <v>1.2732925824820995E-11</v>
      </c>
      <c r="J12" s="180">
        <f t="shared" si="0"/>
        <v>1.2732925824820995E-11</v>
      </c>
      <c r="M12" s="184">
        <v>0</v>
      </c>
    </row>
    <row r="13" spans="1:13" x14ac:dyDescent="0.25">
      <c r="A13" s="187"/>
      <c r="B13" s="51"/>
      <c r="C13" s="51"/>
      <c r="D13" s="51"/>
      <c r="E13" s="51"/>
      <c r="F13" s="187"/>
      <c r="G13" s="187"/>
      <c r="K13" s="187"/>
    </row>
    <row r="14" spans="1:13" x14ac:dyDescent="0.25">
      <c r="A14" s="187"/>
      <c r="B14" s="188" t="s">
        <v>130</v>
      </c>
      <c r="C14" s="188"/>
      <c r="E14" s="278">
        <f>SUM(E5:E13)</f>
        <v>1511760.96</v>
      </c>
      <c r="F14" s="189">
        <f>SUM(F5:F12)</f>
        <v>168919.25000000003</v>
      </c>
      <c r="G14" s="189">
        <f>SUM(G5:G12)</f>
        <v>1342841.71</v>
      </c>
      <c r="K14" s="187"/>
    </row>
    <row r="15" spans="1:13" x14ac:dyDescent="0.25">
      <c r="A15" s="187"/>
      <c r="B15" s="51"/>
      <c r="C15" s="51"/>
      <c r="D15" s="51"/>
      <c r="E15" s="51"/>
      <c r="F15" s="187"/>
      <c r="G15" s="187"/>
      <c r="H15" s="187"/>
    </row>
    <row r="16" spans="1:13" x14ac:dyDescent="0.25">
      <c r="A16" s="190" t="s">
        <v>190</v>
      </c>
      <c r="B16" s="190"/>
      <c r="C16" s="190"/>
      <c r="D16" s="190"/>
      <c r="E16" s="190"/>
      <c r="F16" s="190"/>
      <c r="G16" s="190"/>
      <c r="H16" s="190"/>
      <c r="I16" s="190"/>
    </row>
    <row r="17" s="16" customFormat="1" x14ac:dyDescent="0.25"/>
  </sheetData>
  <mergeCells count="19">
    <mergeCell ref="B15:C15"/>
    <mergeCell ref="D15:E15"/>
    <mergeCell ref="A16:I16"/>
    <mergeCell ref="B12:C12"/>
    <mergeCell ref="B13:C13"/>
    <mergeCell ref="D13:E13"/>
    <mergeCell ref="B14:C14"/>
    <mergeCell ref="B9:C9"/>
    <mergeCell ref="B10:C10"/>
    <mergeCell ref="B11:C11"/>
    <mergeCell ref="B6:C6"/>
    <mergeCell ref="B7:C7"/>
    <mergeCell ref="B8:C8"/>
    <mergeCell ref="A1:I1"/>
    <mergeCell ref="A2:I2"/>
    <mergeCell ref="B3:D3"/>
    <mergeCell ref="B4:C4"/>
    <mergeCell ref="D4:E4"/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0A05-D17C-4181-BF60-CB52BB1946AA}">
  <dimension ref="A1:O18"/>
  <sheetViews>
    <sheetView workbookViewId="0">
      <selection activeCell="B5" sqref="B5:C5"/>
    </sheetView>
  </sheetViews>
  <sheetFormatPr defaultRowHeight="15" x14ac:dyDescent="0.25"/>
  <cols>
    <col min="1" max="1" width="5.85546875" style="16" customWidth="1"/>
    <col min="2" max="2" width="4" style="16" customWidth="1"/>
    <col min="3" max="3" width="9" style="16" customWidth="1"/>
    <col min="4" max="4" width="5" style="16" customWidth="1"/>
    <col min="5" max="6" width="16" style="16" customWidth="1"/>
    <col min="7" max="7" width="13.85546875" style="16" customWidth="1"/>
    <col min="8" max="8" width="15.5703125" style="16" bestFit="1" customWidth="1"/>
    <col min="9" max="9" width="1.85546875" style="16" customWidth="1"/>
    <col min="10" max="10" width="15.5703125" style="16" bestFit="1" customWidth="1"/>
    <col min="11" max="11" width="2.7109375" style="16" customWidth="1"/>
    <col min="12" max="12" width="15.5703125" style="16" bestFit="1" customWidth="1"/>
    <col min="13" max="13" width="9.42578125" style="16" bestFit="1" customWidth="1"/>
    <col min="14" max="14" width="9.140625" style="16"/>
    <col min="15" max="15" width="20.28515625" style="16" bestFit="1" customWidth="1"/>
    <col min="16" max="16384" width="9.140625" style="16"/>
  </cols>
  <sheetData>
    <row r="1" spans="1:15" ht="15.75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8"/>
      <c r="K1" s="168"/>
      <c r="L1" s="168"/>
      <c r="M1" s="168"/>
    </row>
    <row r="2" spans="1:15" ht="136.5" customHeight="1" x14ac:dyDescent="0.25">
      <c r="A2" s="137" t="s">
        <v>191</v>
      </c>
      <c r="B2" s="137"/>
      <c r="C2" s="137"/>
      <c r="D2" s="137"/>
      <c r="E2" s="137"/>
      <c r="F2" s="137"/>
      <c r="G2" s="137"/>
      <c r="H2" s="137"/>
      <c r="I2" s="137"/>
      <c r="J2" s="143"/>
      <c r="K2" s="143"/>
      <c r="L2" s="143"/>
      <c r="M2" s="143"/>
    </row>
    <row r="3" spans="1:15" s="139" customFormat="1" ht="38.25" x14ac:dyDescent="0.25">
      <c r="A3" s="196" t="s">
        <v>184</v>
      </c>
      <c r="B3" s="197" t="s">
        <v>185</v>
      </c>
      <c r="C3" s="197"/>
      <c r="D3" s="197"/>
      <c r="E3" s="196" t="s">
        <v>186</v>
      </c>
      <c r="F3" s="196" t="s">
        <v>187</v>
      </c>
      <c r="G3" s="196" t="s">
        <v>188</v>
      </c>
      <c r="H3" s="140" t="s">
        <v>97</v>
      </c>
      <c r="I3" s="161"/>
      <c r="J3" s="140" t="s">
        <v>118</v>
      </c>
      <c r="K3" s="161"/>
      <c r="L3" s="141" t="s">
        <v>169</v>
      </c>
      <c r="M3" s="141" t="s">
        <v>170</v>
      </c>
      <c r="N3" s="198"/>
      <c r="O3" s="199" t="s">
        <v>192</v>
      </c>
    </row>
    <row r="4" spans="1:15" s="289" customFormat="1" ht="15.75" x14ac:dyDescent="0.25">
      <c r="A4" s="285"/>
      <c r="B4" s="201">
        <v>44044</v>
      </c>
      <c r="C4" s="201"/>
      <c r="D4" s="285"/>
      <c r="E4" s="285"/>
      <c r="F4" s="285"/>
      <c r="G4" s="285"/>
      <c r="H4" s="283">
        <f>G15</f>
        <v>1550753.6600000001</v>
      </c>
      <c r="I4" s="284"/>
      <c r="J4" s="283">
        <f>F15</f>
        <v>194690.67999999996</v>
      </c>
      <c r="K4" s="284"/>
      <c r="L4" s="286"/>
      <c r="M4" s="286"/>
      <c r="N4" s="287"/>
      <c r="O4" s="288"/>
    </row>
    <row r="5" spans="1:15" x14ac:dyDescent="0.25">
      <c r="A5" s="200">
        <v>1</v>
      </c>
      <c r="B5" s="201">
        <v>44409</v>
      </c>
      <c r="C5" s="201"/>
      <c r="D5" s="279"/>
      <c r="E5" s="279">
        <v>193938.26</v>
      </c>
      <c r="F5" s="202">
        <v>37312.86</v>
      </c>
      <c r="G5" s="203">
        <v>156625.4</v>
      </c>
      <c r="H5" s="204">
        <f>H4-G5</f>
        <v>1394128.2600000002</v>
      </c>
      <c r="I5" s="205"/>
      <c r="J5" s="206">
        <f>J4-F5</f>
        <v>157377.81999999995</v>
      </c>
      <c r="K5" s="205"/>
      <c r="L5" s="206">
        <f>J5+H5</f>
        <v>1551506.08</v>
      </c>
      <c r="M5" s="207">
        <v>44469</v>
      </c>
      <c r="N5" s="205"/>
      <c r="O5" s="208" t="s">
        <v>157</v>
      </c>
    </row>
    <row r="6" spans="1:15" x14ac:dyDescent="0.25">
      <c r="A6" s="200">
        <v>2</v>
      </c>
      <c r="B6" s="201">
        <v>44774</v>
      </c>
      <c r="C6" s="201"/>
      <c r="D6" s="279"/>
      <c r="E6" s="279">
        <v>193938.26</v>
      </c>
      <c r="F6" s="202">
        <v>34016.730000000003</v>
      </c>
      <c r="G6" s="203">
        <v>159921.53</v>
      </c>
      <c r="H6" s="206">
        <f t="shared" ref="H6:H13" si="0">H5-G6</f>
        <v>1234206.7300000002</v>
      </c>
      <c r="I6" s="205"/>
      <c r="J6" s="206">
        <f>J5-F6</f>
        <v>123361.08999999994</v>
      </c>
      <c r="K6" s="205"/>
      <c r="L6" s="206">
        <f t="shared" ref="L6:L13" si="1">J6+H6</f>
        <v>1357567.82</v>
      </c>
      <c r="M6" s="207">
        <v>44834</v>
      </c>
      <c r="N6" s="205"/>
      <c r="O6" s="208" t="s">
        <v>157</v>
      </c>
    </row>
    <row r="7" spans="1:15" x14ac:dyDescent="0.25">
      <c r="A7" s="200">
        <v>3</v>
      </c>
      <c r="B7" s="201">
        <v>45139</v>
      </c>
      <c r="C7" s="201"/>
      <c r="D7" s="279"/>
      <c r="E7" s="279">
        <v>193938.26</v>
      </c>
      <c r="F7" s="202">
        <v>30114.639999999999</v>
      </c>
      <c r="G7" s="203">
        <v>163823.62</v>
      </c>
      <c r="H7" s="206">
        <f t="shared" si="0"/>
        <v>1070383.1100000003</v>
      </c>
      <c r="I7" s="205"/>
      <c r="J7" s="206">
        <f t="shared" ref="J7:J13" si="2">J6-F7</f>
        <v>93246.449999999939</v>
      </c>
      <c r="K7" s="205"/>
      <c r="L7" s="206">
        <f t="shared" si="1"/>
        <v>1163629.5600000003</v>
      </c>
      <c r="M7" s="207">
        <v>45199</v>
      </c>
      <c r="N7" s="205"/>
      <c r="O7" s="208" t="s">
        <v>157</v>
      </c>
    </row>
    <row r="8" spans="1:15" x14ac:dyDescent="0.25">
      <c r="A8" s="200">
        <v>4</v>
      </c>
      <c r="B8" s="201">
        <v>45505</v>
      </c>
      <c r="C8" s="201"/>
      <c r="D8" s="279"/>
      <c r="E8" s="279">
        <v>193938.26</v>
      </c>
      <c r="F8" s="202">
        <v>26117.35</v>
      </c>
      <c r="G8" s="203">
        <v>167820.91</v>
      </c>
      <c r="H8" s="206">
        <f t="shared" si="0"/>
        <v>902562.2000000003</v>
      </c>
      <c r="I8" s="205"/>
      <c r="J8" s="206">
        <f t="shared" si="2"/>
        <v>67129.099999999948</v>
      </c>
      <c r="K8" s="205"/>
      <c r="L8" s="206">
        <f t="shared" si="1"/>
        <v>969691.30000000028</v>
      </c>
      <c r="M8" s="205"/>
      <c r="N8" s="205"/>
      <c r="O8" s="208" t="s">
        <v>157</v>
      </c>
    </row>
    <row r="9" spans="1:15" x14ac:dyDescent="0.25">
      <c r="A9" s="200">
        <v>5</v>
      </c>
      <c r="B9" s="201">
        <v>45870</v>
      </c>
      <c r="C9" s="201"/>
      <c r="D9" s="279"/>
      <c r="E9" s="279">
        <v>193938.26</v>
      </c>
      <c r="F9" s="202">
        <v>22022.52</v>
      </c>
      <c r="G9" s="203">
        <v>171915.74</v>
      </c>
      <c r="H9" s="206">
        <f t="shared" si="0"/>
        <v>730646.46000000031</v>
      </c>
      <c r="I9" s="205"/>
      <c r="J9" s="206">
        <f t="shared" si="2"/>
        <v>45106.579999999944</v>
      </c>
      <c r="K9" s="205"/>
      <c r="L9" s="206">
        <f t="shared" si="1"/>
        <v>775753.04000000027</v>
      </c>
      <c r="M9" s="205"/>
      <c r="N9" s="205"/>
      <c r="O9" s="209">
        <v>739361.17</v>
      </c>
    </row>
    <row r="10" spans="1:15" x14ac:dyDescent="0.25">
      <c r="A10" s="200">
        <v>6</v>
      </c>
      <c r="B10" s="201">
        <v>46235</v>
      </c>
      <c r="C10" s="201"/>
      <c r="D10" s="279"/>
      <c r="E10" s="279">
        <v>193938.26</v>
      </c>
      <c r="F10" s="202">
        <v>17827.77</v>
      </c>
      <c r="G10" s="203">
        <v>176110.49</v>
      </c>
      <c r="H10" s="206">
        <f t="shared" si="0"/>
        <v>554535.97000000032</v>
      </c>
      <c r="I10" s="205"/>
      <c r="J10" s="206">
        <f t="shared" si="2"/>
        <v>27278.809999999943</v>
      </c>
      <c r="K10" s="205"/>
      <c r="L10" s="206">
        <f t="shared" si="1"/>
        <v>581814.78000000026</v>
      </c>
      <c r="M10" s="205"/>
      <c r="N10" s="205"/>
      <c r="O10" s="209">
        <v>559840.44999999995</v>
      </c>
    </row>
    <row r="11" spans="1:15" x14ac:dyDescent="0.25">
      <c r="A11" s="200">
        <v>7</v>
      </c>
      <c r="B11" s="201">
        <v>46600</v>
      </c>
      <c r="C11" s="201"/>
      <c r="D11" s="279"/>
      <c r="E11" s="279">
        <v>193938.26</v>
      </c>
      <c r="F11" s="202">
        <v>13530.68</v>
      </c>
      <c r="G11" s="203">
        <v>180407.58</v>
      </c>
      <c r="H11" s="206">
        <f t="shared" si="0"/>
        <v>374128.39000000036</v>
      </c>
      <c r="I11" s="205"/>
      <c r="J11" s="206">
        <f t="shared" si="2"/>
        <v>13748.129999999943</v>
      </c>
      <c r="K11" s="205"/>
      <c r="L11" s="206">
        <f t="shared" si="1"/>
        <v>387876.52000000031</v>
      </c>
      <c r="M11" s="205"/>
      <c r="N11" s="205"/>
      <c r="O11" s="209">
        <v>376819.08</v>
      </c>
    </row>
    <row r="12" spans="1:15" x14ac:dyDescent="0.25">
      <c r="A12" s="200">
        <v>8</v>
      </c>
      <c r="B12" s="201">
        <v>46966</v>
      </c>
      <c r="C12" s="201"/>
      <c r="D12" s="279"/>
      <c r="E12" s="279">
        <v>193938.26</v>
      </c>
      <c r="F12" s="202">
        <v>9128.73</v>
      </c>
      <c r="G12" s="203">
        <v>184809.53</v>
      </c>
      <c r="H12" s="206">
        <f t="shared" si="0"/>
        <v>189318.86000000036</v>
      </c>
      <c r="I12" s="205"/>
      <c r="J12" s="206">
        <f t="shared" si="2"/>
        <v>4619.3999999999432</v>
      </c>
      <c r="K12" s="205"/>
      <c r="L12" s="206">
        <f t="shared" si="1"/>
        <v>193938.2600000003</v>
      </c>
      <c r="M12" s="205"/>
      <c r="N12" s="205"/>
      <c r="O12" s="209">
        <v>190228.79</v>
      </c>
    </row>
    <row r="13" spans="1:15" x14ac:dyDescent="0.25">
      <c r="A13" s="200">
        <v>9</v>
      </c>
      <c r="B13" s="201">
        <v>47331</v>
      </c>
      <c r="C13" s="201"/>
      <c r="D13" s="279"/>
      <c r="E13" s="279">
        <v>193938.26</v>
      </c>
      <c r="F13" s="202">
        <v>4619.3999999999996</v>
      </c>
      <c r="G13" s="203">
        <v>189318.86</v>
      </c>
      <c r="H13" s="206">
        <f t="shared" si="0"/>
        <v>3.7834979593753815E-10</v>
      </c>
      <c r="I13" s="205"/>
      <c r="J13" s="206">
        <f t="shared" si="2"/>
        <v>-5.6388671509921551E-11</v>
      </c>
      <c r="K13" s="205"/>
      <c r="L13" s="206">
        <f t="shared" si="1"/>
        <v>3.219611244276166E-10</v>
      </c>
      <c r="M13" s="205"/>
      <c r="N13" s="205"/>
      <c r="O13" s="210">
        <v>0</v>
      </c>
    </row>
    <row r="14" spans="1:15" ht="5.25" customHeight="1" x14ac:dyDescent="0.2">
      <c r="A14" s="211"/>
      <c r="B14" s="212"/>
      <c r="C14" s="212"/>
      <c r="D14" s="212"/>
      <c r="E14" s="212"/>
      <c r="F14" s="211"/>
      <c r="G14" s="211"/>
      <c r="H14" s="205"/>
      <c r="I14" s="205"/>
      <c r="J14" s="205"/>
      <c r="K14" s="205"/>
      <c r="L14" s="205"/>
      <c r="M14" s="205"/>
      <c r="N14" s="205"/>
      <c r="O14" s="211"/>
    </row>
    <row r="15" spans="1:15" ht="14.25" customHeight="1" x14ac:dyDescent="0.2">
      <c r="A15" s="211"/>
      <c r="B15" s="213" t="s">
        <v>130</v>
      </c>
      <c r="C15" s="213"/>
      <c r="E15" s="279">
        <f>SUM(E5:E14)</f>
        <v>1745444.34</v>
      </c>
      <c r="F15" s="214">
        <f>SUM(F5:F14)</f>
        <v>194690.67999999996</v>
      </c>
      <c r="G15" s="214">
        <f>SUM(G5:G14)</f>
        <v>1550753.6600000001</v>
      </c>
      <c r="H15" s="205"/>
      <c r="I15" s="205"/>
      <c r="J15" s="205"/>
      <c r="K15" s="205"/>
      <c r="L15" s="205"/>
      <c r="M15" s="205"/>
      <c r="N15" s="205"/>
      <c r="O15" s="211"/>
    </row>
    <row r="16" spans="1:15" ht="5.25" customHeight="1" x14ac:dyDescent="0.2">
      <c r="A16" s="211"/>
      <c r="B16" s="212"/>
      <c r="C16" s="212"/>
      <c r="D16" s="212"/>
      <c r="E16" s="212"/>
      <c r="F16" s="211"/>
      <c r="G16" s="211"/>
      <c r="H16" s="211"/>
      <c r="I16" s="205"/>
      <c r="J16" s="205"/>
      <c r="K16" s="205"/>
      <c r="L16" s="205"/>
      <c r="M16" s="205"/>
      <c r="N16" s="205"/>
      <c r="O16" s="205"/>
    </row>
    <row r="17" spans="1:15" x14ac:dyDescent="0.25">
      <c r="A17" s="215" t="s">
        <v>193</v>
      </c>
      <c r="B17" s="215"/>
      <c r="C17" s="215"/>
      <c r="D17" s="215"/>
      <c r="E17" s="215"/>
      <c r="F17" s="215"/>
      <c r="G17" s="215"/>
      <c r="H17" s="215"/>
      <c r="I17" s="215"/>
      <c r="J17" s="208"/>
      <c r="K17" s="208"/>
      <c r="L17" s="208"/>
      <c r="M17" s="208"/>
      <c r="N17" s="205"/>
      <c r="O17" s="205"/>
    </row>
    <row r="18" spans="1:15" x14ac:dyDescent="0.25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</row>
  </sheetData>
  <mergeCells count="19">
    <mergeCell ref="B16:C16"/>
    <mergeCell ref="D16:E16"/>
    <mergeCell ref="A17:I17"/>
    <mergeCell ref="B4:C4"/>
    <mergeCell ref="B13:C13"/>
    <mergeCell ref="B14:C14"/>
    <mergeCell ref="D14:E14"/>
    <mergeCell ref="B15:C15"/>
    <mergeCell ref="B10:C10"/>
    <mergeCell ref="B11:C11"/>
    <mergeCell ref="B12:C12"/>
    <mergeCell ref="B7:C7"/>
    <mergeCell ref="B8:C8"/>
    <mergeCell ref="B9:C9"/>
    <mergeCell ref="A1:I1"/>
    <mergeCell ref="A2:I2"/>
    <mergeCell ref="B3:D3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</vt:lpstr>
      <vt:lpstr>FMC8639200</vt:lpstr>
      <vt:lpstr>FMC8369201</vt:lpstr>
      <vt:lpstr>FMC8639202</vt:lpstr>
      <vt:lpstr>FMC8639203</vt:lpstr>
      <vt:lpstr>GC8244</vt:lpstr>
      <vt:lpstr>GC8740</vt:lpstr>
      <vt:lpstr>GC8839</vt:lpstr>
      <vt:lpstr>GC9163</vt:lpstr>
      <vt:lpstr>GC9177</vt:lpstr>
      <vt:lpstr>GC9840</vt:lpstr>
      <vt:lpstr>GC9950</vt:lpstr>
      <vt:lpstr>PNC172086000</vt:lpstr>
      <vt:lpstr>PNC172606000</vt:lpstr>
      <vt:lpstr>PNC179683000</vt:lpstr>
      <vt:lpstr>PNC189649000</vt:lpstr>
      <vt:lpstr>PNC193446000</vt:lpstr>
      <vt:lpstr>PNC194379000</vt:lpstr>
      <vt:lpstr>PNC201340000</vt:lpstr>
      <vt:lpstr>PNC202859000</vt:lpstr>
      <vt:lpstr>PNC202871000</vt:lpstr>
      <vt:lpstr>PNC202872000</vt:lpstr>
      <vt:lpstr>PNC204070000</vt:lpstr>
      <vt:lpstr>WF0263974551-26</vt:lpstr>
      <vt:lpstr>WF263974551-34</vt:lpstr>
      <vt:lpstr>WF263974551-42</vt:lpstr>
      <vt:lpstr>Xerox010-0026313-002</vt:lpstr>
      <vt:lpstr>Xerox010-0031798-002</vt:lpstr>
      <vt:lpstr>Xerox 010-0031798-001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Frazier</dc:creator>
  <cp:lastModifiedBy>Jessica Frazier</cp:lastModifiedBy>
  <dcterms:created xsi:type="dcterms:W3CDTF">2022-09-27T18:47:25Z</dcterms:created>
  <dcterms:modified xsi:type="dcterms:W3CDTF">2022-09-28T22:37:45Z</dcterms:modified>
</cp:coreProperties>
</file>